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spreadsheetml.comments+xml" PartName="/xl/comments/comment3.xml"/>
  <Override ContentType="application/vnd.openxmlformats-officedocument.spreadsheetml.worksheet+xml" PartName="/xl/worksheets/sheet4.xml"/>
  <Override ContentType="application/vnd.openxmlformats-officedocument.drawing+xml" PartName="/xl/drawings/drawing2.xml"/>
  <Override ContentType="application/vnd.openxmlformats-officedocument.spreadsheetml.worksheet+xml" PartName="/xl/worksheets/sheet5.xml"/>
  <Override ContentType="application/vnd.openxmlformats-officedocument.drawing+xml" PartName="/xl/drawings/drawing3.xml"/>
  <Override ContentType="application/vnd.openxmlformats-officedocument.spreadsheetml.worksheet+xml" PartName="/xl/worksheets/sheet6.xml"/>
  <Override ContentType="application/vnd.openxmlformats-officedocument.drawing+xml" PartName="/xl/drawings/drawing4.xml"/>
  <Override ContentType="application/vnd.openxmlformats-officedocument.spreadsheetml.worksheet+xml" PartName="/xl/worksheets/sheet7.xml"/>
  <Override ContentType="application/vnd.openxmlformats-officedocument.spreadsheetml.comments+xml" PartName="/xl/comments/comment4.xml"/>
  <Override ContentType="application/vnd.openxmlformats-officedocument.spreadsheetml.worksheet+xml" PartName="/xl/worksheets/sheet8.xml"/>
  <Override ContentType="application/vnd.openxmlformats-officedocument.spreadsheetml.comments+xml" PartName="/xl/comments/comment5.xml"/>
  <Override ContentType="application/vnd.openxmlformats-officedocument.spreadsheetml.worksheet+xml" PartName="/xl/worksheets/sheet9.xml"/>
  <Override ContentType="application/vnd.openxmlformats-officedocument.spreadsheetml.comments+xml" PartName="/xl/comments/comment6.xml"/>
  <Override ContentType="application/vnd.openxmlformats-officedocument.spreadsheetml.worksheet+xml" PartName="/xl/worksheets/sheet10.xml"/>
  <Override ContentType="application/vnd.openxmlformats-officedocument.spreadsheetml.comments+xml" PartName="/xl/comments/comment7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9" autoFilterDateGrouping="1" firstSheet="6" minimized="0" showHorizontalScroll="1" showSheetTabs="1" showVerticalScroll="1" tabRatio="801" visibility="visible" windowHeight="5175" windowWidth="20730" xWindow="210" yWindow="5460"/>
  </bookViews>
  <sheets>
    <sheet name="Unit Price" sheetId="1" state="visible" r:id="rId1"/>
    <sheet name="FY18 SET" sheetId="2" state="visible" r:id="rId2"/>
    <sheet name="FY18通年" sheetId="3" state="visible" r:id="rId3"/>
    <sheet name="Chart" sheetId="4" state="visible" r:id="rId4"/>
    <sheet name="Chart2" sheetId="5" state="visible" r:id="rId5"/>
    <sheet name="Chart3" sheetId="6" state="visible" r:id="rId6"/>
    <sheet name=" SET Cost(staf+OS)" sheetId="7" state="visible" r:id="rId7"/>
    <sheet name="CFG" sheetId="8" state="visible" r:id="rId8"/>
    <sheet name="PL" sheetId="9" state="visible" r:id="rId9"/>
    <sheet name="OS&amp;Travel Exp" sheetId="10" state="visible" r:id="rId10"/>
    <sheet name="手顺" sheetId="11" state="visible" r:id="rId11"/>
    <sheet name="QA" sheetId="12" state="visible" r:id="rId12"/>
    <sheet name="check" sheetId="13" state="visible" r:id="rId13"/>
    <sheet name="外籍" sheetId="14" state="visible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hidden="1" localSheetId="7" name="_xlnm._FilterDatabase">CFG!$A$3:$U$336</definedName>
    <definedName hidden="1" localSheetId="1" name="_xlnm._FilterDatabase">'FY18 SET'!$A$3:$AO$58</definedName>
    <definedName name="ddddd">'[1]RB caculation'!#REF!</definedName>
    <definedName name="dept">#REF!</definedName>
    <definedName name="dept1">#REF!</definedName>
    <definedName name="dept2">#REF!</definedName>
    <definedName name="dept3">#REF!</definedName>
    <definedName name="HC">'[2]HC Data'!$B$12:$M$200</definedName>
    <definedName name="RRRR">'[1]RB caculation'!#REF!</definedName>
    <definedName name="SSSS">'[1]RB caculation'!#REF!</definedName>
    <definedName name="testing">#REF!</definedName>
    <definedName name="TTTT">'[1]RB caculation'!#REF!</definedName>
    <definedName name="XXX">'[1]RB caculation'!#REF!</definedName>
    <definedName name="YYY">'[1]RB caculation'!#REF!</definedName>
    <definedName hidden="1" localSheetId="1" name="_xlnm._FilterDatabase">'FY18 SET'!$A$3:$AO$58</definedName>
    <definedName hidden="1" localSheetId="7" name="_xlnm._FilterDatabase">CFG!$A$3:$U$336</definedName>
    <definedName localSheetId="8" name="_xlnm.Print_Titles">PL!$A:$A</definedName>
    <definedName localSheetId="8" name="_xlnm.Print_Area">PL!$A$1:$BA$23</definedName>
  </definedNames>
  <calcPr calcId="162913" fullCalcOnLoad="1"/>
</workbook>
</file>

<file path=xl/sharedStrings.xml><?xml version="1.0" encoding="utf-8"?>
<sst xmlns="http://schemas.openxmlformats.org/spreadsheetml/2006/main" uniqueCount="491">
  <si>
    <t>SDD (12124 &amp; 12274)</t>
  </si>
  <si>
    <t>SET 12163</t>
  </si>
  <si>
    <t>SET 12272</t>
  </si>
  <si>
    <t>SET 12273</t>
  </si>
  <si>
    <t>SET 12276</t>
  </si>
  <si>
    <t>SET 12277</t>
  </si>
  <si>
    <t>Level</t>
  </si>
  <si>
    <t>FY16
Unit Price</t>
  </si>
  <si>
    <t>FY17
Unit Price</t>
  </si>
  <si>
    <t>EXP-AGM</t>
  </si>
  <si>
    <t>EXP-SM</t>
  </si>
  <si>
    <t>EXP-M</t>
  </si>
  <si>
    <t>SM</t>
  </si>
  <si>
    <t>M</t>
  </si>
  <si>
    <t>AM</t>
  </si>
  <si>
    <t>SV</t>
  </si>
  <si>
    <t>G</t>
  </si>
  <si>
    <t>OS-上海</t>
  </si>
  <si>
    <t>OS-Onsite</t>
  </si>
  <si>
    <t>OS-SH</t>
  </si>
  <si>
    <t>OS-無錫</t>
  </si>
  <si>
    <t>OS-offsite</t>
  </si>
  <si>
    <t>OS-WX</t>
  </si>
  <si>
    <t>OS Cost</t>
  </si>
  <si>
    <t>FY16 OB</t>
  </si>
  <si>
    <t>FY17OB</t>
  </si>
  <si>
    <t>FY18OB</t>
  </si>
  <si>
    <t>FY16 OCT</t>
  </si>
  <si>
    <t>FY17 OCT</t>
  </si>
  <si>
    <t>FY18 参考</t>
  </si>
  <si>
    <t>Expat</t>
  </si>
  <si>
    <t>E-VP</t>
  </si>
  <si>
    <t xml:space="preserve"> </t>
  </si>
  <si>
    <t>E-GM/AGM</t>
  </si>
  <si>
    <t>E-SM</t>
  </si>
  <si>
    <t>E-M</t>
  </si>
  <si>
    <t>E-SV</t>
  </si>
  <si>
    <t>Local</t>
  </si>
  <si>
    <t>GM/AGM</t>
  </si>
  <si>
    <t>SDD OS</t>
  </si>
  <si>
    <t>SH 12124</t>
  </si>
  <si>
    <t>WX 12174</t>
  </si>
  <si>
    <t>SET 
12276 OS</t>
  </si>
  <si>
    <t>Onsite SH</t>
  </si>
  <si>
    <t>Offsite</t>
  </si>
  <si>
    <t>SET 
12272 OS</t>
  </si>
  <si>
    <t>Onsite WX</t>
  </si>
  <si>
    <t>Off-site WX</t>
  </si>
  <si>
    <t>SET
12273 OS</t>
  </si>
  <si>
    <t>SET 
12277 OS</t>
  </si>
  <si>
    <t>SET 
12278 OS</t>
  </si>
  <si>
    <t>Intern</t>
  </si>
  <si>
    <t>SDD</t>
  </si>
  <si>
    <t>admin</t>
  </si>
  <si>
    <t>SET</t>
  </si>
  <si>
    <t>FY18</t>
  </si>
  <si>
    <t>No</t>
  </si>
  <si>
    <t>PJ Name</t>
  </si>
  <si>
    <t>Group</t>
  </si>
  <si>
    <t xml:space="preserve">Client
name oI Dept. Head  / Div. </t>
  </si>
  <si>
    <t>Category</t>
  </si>
  <si>
    <t>HC/Rev</t>
  </si>
  <si>
    <t>Apr</t>
  </si>
  <si>
    <t>May</t>
  </si>
  <si>
    <t>Jun</t>
  </si>
  <si>
    <t>July</t>
  </si>
  <si>
    <t>Aug</t>
  </si>
  <si>
    <t>Sep</t>
  </si>
  <si>
    <t>1H</t>
  </si>
  <si>
    <t>Oct</t>
  </si>
  <si>
    <t>Nov</t>
  </si>
  <si>
    <t>Dec</t>
  </si>
  <si>
    <t>Jan</t>
  </si>
  <si>
    <t>Feb</t>
  </si>
  <si>
    <t>Mar</t>
  </si>
  <si>
    <t>2H</t>
  </si>
  <si>
    <t>FY</t>
  </si>
  <si>
    <t>契約／請求担当</t>
  </si>
  <si>
    <t>Cost Center</t>
  </si>
  <si>
    <t>PL</t>
  </si>
  <si>
    <t>TTL</t>
  </si>
  <si>
    <t>Audio HA</t>
  </si>
  <si>
    <t>SVS</t>
  </si>
  <si>
    <t>(SVS/SWD2/SQA) Nakamura</t>
  </si>
  <si>
    <t>Audio</t>
  </si>
  <si>
    <t>合同HC</t>
  </si>
  <si>
    <t>Wang Wenhuan</t>
  </si>
  <si>
    <t>实际Staff</t>
  </si>
  <si>
    <t>实际OS</t>
  </si>
  <si>
    <t>Revenue</t>
  </si>
  <si>
    <t>Audio PA/PE</t>
  </si>
  <si>
    <t>(SVS/SWD1/SQA) Fuji</t>
  </si>
  <si>
    <t>BDP Test</t>
  </si>
  <si>
    <t>Video</t>
  </si>
  <si>
    <t>Red</t>
  </si>
  <si>
    <t>PC Application</t>
  </si>
  <si>
    <t>SIPS</t>
  </si>
  <si>
    <t>SIPS/DI/NSP/Mikamo</t>
  </si>
  <si>
    <t>Network service testing</t>
  </si>
  <si>
    <t>SIE</t>
  </si>
  <si>
    <t>(SNEI/NPSD/SQA) Yahata</t>
  </si>
  <si>
    <t>SSP</t>
  </si>
  <si>
    <t>SSS</t>
  </si>
  <si>
    <t>(DSBG/ALBD/SAPD) Koizumi</t>
  </si>
  <si>
    <t>Lyon</t>
  </si>
  <si>
    <t>SLSI</t>
  </si>
  <si>
    <t>(Sony LSI/LSID5) Ueki</t>
  </si>
  <si>
    <t>Ichikawa san</t>
  </si>
  <si>
    <t>PFX</t>
  </si>
  <si>
    <t>(SIPS/DI/DIAD/PF2) Yazawa</t>
  </si>
  <si>
    <t>Kevin</t>
  </si>
  <si>
    <t>BDK test</t>
  </si>
  <si>
    <t>SRDG</t>
  </si>
  <si>
    <t>(SRDG/APFD/BSD) Obara</t>
  </si>
  <si>
    <t>MBT test</t>
  </si>
  <si>
    <t>Other</t>
  </si>
  <si>
    <t>external customer</t>
  </si>
  <si>
    <t>CH-TV FT</t>
  </si>
  <si>
    <t>SVP</t>
  </si>
  <si>
    <t>(SVP/SDD/SQA1) Ogawa</t>
  </si>
  <si>
    <t>TV</t>
  </si>
  <si>
    <t>Gloria</t>
  </si>
  <si>
    <t>(SVP/SWD/SQA1) Ogawa</t>
  </si>
  <si>
    <t>TV Market issue</t>
  </si>
  <si>
    <t>China</t>
  </si>
  <si>
    <t>(SSV/SVPC/STM) konno</t>
  </si>
  <si>
    <t>HF test</t>
  </si>
  <si>
    <t>(SVP/SDD/PFPS) Kimoto</t>
  </si>
  <si>
    <t>MBT R&amp;D</t>
  </si>
  <si>
    <t>实际StaII</t>
  </si>
  <si>
    <t>SQA Total</t>
  </si>
  <si>
    <t>SET PL</t>
  </si>
  <si>
    <t>SGMO</t>
  </si>
  <si>
    <t>SEG</t>
  </si>
  <si>
    <t>OS Fee</t>
  </si>
  <si>
    <t>os (HC)</t>
  </si>
  <si>
    <t>staff(HC)</t>
  </si>
  <si>
    <t>12163 OS</t>
  </si>
  <si>
    <t>12272 OS</t>
  </si>
  <si>
    <t>12273 OS</t>
  </si>
  <si>
    <t>12276 OS</t>
  </si>
  <si>
    <t>12277 OS Onsite</t>
  </si>
  <si>
    <t>12277 OS off</t>
  </si>
  <si>
    <t>12278 OS</t>
  </si>
  <si>
    <t>unit price</t>
  </si>
  <si>
    <t>12163 OS Fee</t>
  </si>
  <si>
    <t>12272 OS Fee</t>
  </si>
  <si>
    <t>12273 OS Fee</t>
  </si>
  <si>
    <t>12276 OS Fee</t>
  </si>
  <si>
    <t>12277 OS Fee_Onsite</t>
  </si>
  <si>
    <t>12277 OS Fee_Offsite</t>
  </si>
  <si>
    <t>12278 OS Fee</t>
  </si>
  <si>
    <t>Cost</t>
  </si>
  <si>
    <t>Profit</t>
  </si>
  <si>
    <t>OB</t>
  </si>
  <si>
    <t>4-11Act.
12-3Est.</t>
  </si>
  <si>
    <t>Personnel</t>
  </si>
  <si>
    <t>OS</t>
  </si>
  <si>
    <t>Depreciation</t>
  </si>
  <si>
    <t>Rental</t>
  </si>
  <si>
    <t>CAD</t>
  </si>
  <si>
    <t>IS (Infra+Service)</t>
  </si>
  <si>
    <t>Schina Allocation</t>
  </si>
  <si>
    <t xml:space="preserve">Travelling </t>
  </si>
  <si>
    <t>Other SGA</t>
  </si>
  <si>
    <t>CSC Allocation</t>
  </si>
  <si>
    <t>PSG</t>
  </si>
  <si>
    <t>UX</t>
  </si>
  <si>
    <t>IP&amp;S</t>
  </si>
  <si>
    <t>SCE</t>
  </si>
  <si>
    <t>SNE</t>
  </si>
  <si>
    <t>DQT</t>
  </si>
  <si>
    <t>Non Operating Income</t>
  </si>
  <si>
    <t>Total</t>
  </si>
  <si>
    <t>Jul</t>
  </si>
  <si>
    <t>CostCenter</t>
  </si>
  <si>
    <t>SQA</t>
  </si>
  <si>
    <t>PL亏损</t>
  </si>
  <si>
    <t>PL正利润</t>
  </si>
  <si>
    <t>LSI</t>
  </si>
  <si>
    <t>MBT</t>
  </si>
  <si>
    <t>SET Total</t>
  </si>
  <si>
    <t>PL%</t>
  </si>
  <si>
    <t>12272 &amp; 12277</t>
  </si>
  <si>
    <t>FY18 OB SQA</t>
  </si>
  <si>
    <t>Check</t>
  </si>
  <si>
    <t>12163</t>
  </si>
  <si>
    <t>Personnel Expenses</t>
  </si>
  <si>
    <t>俞康</t>
  </si>
  <si>
    <t>Repair &amp; maintenance</t>
  </si>
  <si>
    <t>Rental（PC ）</t>
  </si>
  <si>
    <t>Depreciation (PC, Equipment)</t>
  </si>
  <si>
    <t>Equipment &amp; tools expensed</t>
  </si>
  <si>
    <t>Professional service fee</t>
  </si>
  <si>
    <t>Travelling</t>
  </si>
  <si>
    <t>Others (Training,Phone…)</t>
  </si>
  <si>
    <t>Sony China Allocation</t>
  </si>
  <si>
    <t>CAD SH</t>
  </si>
  <si>
    <t>CAD WX</t>
  </si>
  <si>
    <t>Rental（Space）-SH</t>
  </si>
  <si>
    <t>Rental（Space）-WX</t>
  </si>
  <si>
    <t>12198 Allocation</t>
  </si>
  <si>
    <t>Wuxi 12271 Allocation
(Rental,Elec,Water,Gas,Office maintain)</t>
  </si>
  <si>
    <t>HC</t>
  </si>
  <si>
    <t>M above</t>
  </si>
  <si>
    <t>HC TTL</t>
  </si>
  <si>
    <t>Staff sh</t>
  </si>
  <si>
    <t>Staff wx</t>
  </si>
  <si>
    <t>OS-onsite-SH</t>
  </si>
  <si>
    <t>OS-onsite-WX</t>
  </si>
  <si>
    <t>OS-offsite-WX</t>
  </si>
  <si>
    <t>OS TTL</t>
  </si>
  <si>
    <t>Rental（PC）</t>
  </si>
  <si>
    <t>Travelling &amp; commutation</t>
  </si>
  <si>
    <t>Fixed Cost excl. Allocation</t>
  </si>
  <si>
    <t>SChina</t>
  </si>
  <si>
    <t>12163 Allocation</t>
  </si>
  <si>
    <t>Allocated Cost</t>
  </si>
  <si>
    <t>Toatl</t>
  </si>
  <si>
    <t>HC+OS</t>
  </si>
  <si>
    <t>HC+OS SH</t>
  </si>
  <si>
    <t>HC+OS WX</t>
  </si>
  <si>
    <t>HC+OS TTL</t>
  </si>
  <si>
    <t>hou,fang</t>
  </si>
  <si>
    <t>move out</t>
  </si>
  <si>
    <t>HC-M above</t>
  </si>
  <si>
    <t>HC-AM</t>
  </si>
  <si>
    <t>HC-SV</t>
  </si>
  <si>
    <t>HC-G</t>
  </si>
  <si>
    <t>12273</t>
  </si>
  <si>
    <t>陈耿</t>
  </si>
  <si>
    <t>Rental（PC &amp;Car）</t>
  </si>
  <si>
    <t>CAD-SH</t>
  </si>
  <si>
    <t>CAD-WX</t>
  </si>
  <si>
    <t>12276</t>
  </si>
  <si>
    <t>刘辉</t>
  </si>
  <si>
    <t>市川</t>
  </si>
  <si>
    <t>OB data adjust</t>
  </si>
  <si>
    <t>OB data</t>
  </si>
  <si>
    <t>FY18 PL by Code</t>
  </si>
  <si>
    <t>ACT</t>
  </si>
  <si>
    <t>Updated version</t>
  </si>
  <si>
    <t>12124</t>
  </si>
  <si>
    <t>Sales</t>
  </si>
  <si>
    <t>赵怡</t>
  </si>
  <si>
    <t>Operating Revenue</t>
  </si>
  <si>
    <t>Sales &amp; Operating Revenue</t>
  </si>
  <si>
    <t>C.O.G.S.</t>
  </si>
  <si>
    <t>Gross Profit</t>
  </si>
  <si>
    <t>Service</t>
  </si>
  <si>
    <t>Royalty (to Sony Corp)</t>
  </si>
  <si>
    <t>Variable Cost</t>
  </si>
  <si>
    <t>Rental expense</t>
  </si>
  <si>
    <t>Legal expense</t>
  </si>
  <si>
    <t>Entertainment</t>
  </si>
  <si>
    <t>Tax</t>
  </si>
  <si>
    <t>Others(exclued IS Infra)</t>
  </si>
  <si>
    <t>Transferred from other divisions</t>
  </si>
  <si>
    <t>Transferred to other divisions</t>
  </si>
  <si>
    <t>S.G.A.</t>
  </si>
  <si>
    <t>Operating Profit</t>
  </si>
  <si>
    <t>Non Operating Income/Expenses</t>
  </si>
  <si>
    <t>NIBT</t>
  </si>
  <si>
    <t>Alloc.by Staff+OS</t>
  </si>
  <si>
    <t>12271 Allocation</t>
  </si>
  <si>
    <t>12274</t>
  </si>
  <si>
    <t>吴昊</t>
  </si>
  <si>
    <t>12272</t>
  </si>
  <si>
    <t>CAD-SH+WX</t>
  </si>
  <si>
    <t>12277</t>
  </si>
  <si>
    <t>张亮</t>
  </si>
  <si>
    <t>12778</t>
  </si>
  <si>
    <t>12198</t>
  </si>
  <si>
    <t>CAD(+12221 CAD)</t>
  </si>
  <si>
    <t>12271</t>
  </si>
  <si>
    <t>蔡蔡</t>
  </si>
  <si>
    <t>CSC Total - (12198+12271)</t>
  </si>
  <si>
    <t>12198分摊</t>
  </si>
  <si>
    <t>only SH</t>
  </si>
  <si>
    <t>12124(Staff+OS)</t>
  </si>
  <si>
    <t>Only SH</t>
  </si>
  <si>
    <t>SET-12163-SH(Staff+OS)</t>
  </si>
  <si>
    <t>SET-12272-SH(Staff+OS)</t>
  </si>
  <si>
    <t>SET-12273-SH(Staff+OS)</t>
  </si>
  <si>
    <t>Only SH(6月开始）</t>
  </si>
  <si>
    <t>SET-12276-SH(Staff+OS)</t>
  </si>
  <si>
    <t>SET-12277-SH(Staff+OS)</t>
  </si>
  <si>
    <t>SET-12278-SH(Staff+OS)</t>
  </si>
  <si>
    <t>SH SDD+SET</t>
  </si>
  <si>
    <t>12271分摊</t>
  </si>
  <si>
    <t>Only WX</t>
  </si>
  <si>
    <t>12274(Staff+OS)</t>
  </si>
  <si>
    <t>SET-12272-WX(Staff+OS)</t>
  </si>
  <si>
    <t>SET-12273-WX(Staff+OS)</t>
  </si>
  <si>
    <t>SET-12277-WX(Staff+OS)</t>
  </si>
  <si>
    <t>SET-12278-WX(Staff+OS)</t>
  </si>
  <si>
    <t>WX SDD+SET</t>
  </si>
  <si>
    <t>TTL(SDD+SET)</t>
  </si>
  <si>
    <t>SH SQA</t>
  </si>
  <si>
    <t>SQA-12273-SH(Staff+OS)-Kevin</t>
  </si>
  <si>
    <t>SQA-12278-SH(Staff+OS)-Ichikawa</t>
  </si>
  <si>
    <t>SQA-12277-SH(Staff+OS)-Red</t>
  </si>
  <si>
    <t>SQA-12276-SH(Staff+OS)-Gloria</t>
  </si>
  <si>
    <t>CAD Allocation</t>
  </si>
  <si>
    <t>12278</t>
  </si>
  <si>
    <t>CAD上海</t>
  </si>
  <si>
    <t>12124调整后 CAD</t>
  </si>
  <si>
    <t>12278调整后 CAD</t>
  </si>
  <si>
    <t>12163调整后 CAD</t>
  </si>
  <si>
    <t>12272调整后 CAD</t>
  </si>
  <si>
    <t>12273调整后 CAD</t>
  </si>
  <si>
    <t>12276调整后 CAD</t>
  </si>
  <si>
    <t>12277调整后 CAD</t>
  </si>
  <si>
    <t>12124 Rental Exp.</t>
  </si>
  <si>
    <t>12163 Rental Exp.</t>
  </si>
  <si>
    <t>space</t>
  </si>
  <si>
    <t>12124 Assess Rental Office</t>
  </si>
  <si>
    <t>12163 Assess Rental Office</t>
  </si>
  <si>
    <t>12124调整后 Assess Rental Office</t>
  </si>
  <si>
    <t>12163 调整后 Assess Rental Office</t>
  </si>
  <si>
    <t>12124调整后 Rental Exp.</t>
  </si>
  <si>
    <t>12163调整后 Rental Exp.</t>
  </si>
  <si>
    <t>需要调整</t>
  </si>
  <si>
    <t>12271 Rental expense</t>
  </si>
  <si>
    <t>12274 Rental expense</t>
  </si>
  <si>
    <t>12272 Rental expense</t>
  </si>
  <si>
    <t>12273 Rental expense</t>
  </si>
  <si>
    <t>12277 Rental expense</t>
  </si>
  <si>
    <t>12278 Rental expense</t>
  </si>
  <si>
    <t>12274 Rental expense_12271</t>
  </si>
  <si>
    <t>12272 Rental expense_12271</t>
  </si>
  <si>
    <t>12273 Rental expense_12271</t>
  </si>
  <si>
    <t>12277 Rental expense_12271</t>
  </si>
  <si>
    <t>12278 Rental expense_12271</t>
  </si>
  <si>
    <t>SChina Allocation</t>
  </si>
  <si>
    <t>IS Service</t>
  </si>
  <si>
    <t>12198 Personnel Expenses</t>
  </si>
  <si>
    <t>12198 G7</t>
  </si>
  <si>
    <t>12271 Personnel Expenses</t>
  </si>
  <si>
    <t>12271 G8</t>
  </si>
  <si>
    <t>12274 Personnel Exp. Update</t>
  </si>
  <si>
    <t>12124 Personnel Exp. Update</t>
  </si>
  <si>
    <t>IS Infra</t>
  </si>
  <si>
    <t>Others</t>
  </si>
  <si>
    <t>12271 Others(exclued IS Infra)</t>
  </si>
  <si>
    <t>CFG 数据不含12277 VPN</t>
  </si>
  <si>
    <t>Ichikawa</t>
  </si>
  <si>
    <t>公共</t>
  </si>
  <si>
    <t xml:space="preserve">Gloria </t>
  </si>
  <si>
    <t>total:</t>
  </si>
  <si>
    <t>check</t>
  </si>
  <si>
    <t>12271公共</t>
  </si>
  <si>
    <t>12274 CAD-WX</t>
  </si>
  <si>
    <t>12272 CAD-WX</t>
  </si>
  <si>
    <t>12273 CAD-WX</t>
  </si>
  <si>
    <t>12277 CAD-WX</t>
  </si>
  <si>
    <t>12278 CAD-WX</t>
  </si>
  <si>
    <t>12221 Rental</t>
  </si>
  <si>
    <t>12221 CAD</t>
  </si>
  <si>
    <t>12221 Depreciation</t>
  </si>
  <si>
    <t>12221 Others</t>
  </si>
  <si>
    <t>12198 Rental</t>
  </si>
  <si>
    <t>12198 CAD</t>
  </si>
  <si>
    <t>12198 Depreciation</t>
  </si>
  <si>
    <t>12198 Others</t>
  </si>
  <si>
    <t xml:space="preserve">SQA </t>
  </si>
  <si>
    <t>OS expense</t>
  </si>
  <si>
    <t>Schina allocation</t>
  </si>
  <si>
    <t>Rental(Space)-SH</t>
  </si>
  <si>
    <t>Rental(Space)-WX</t>
  </si>
  <si>
    <t>12198 allocation</t>
  </si>
  <si>
    <t>12271 allocation</t>
  </si>
  <si>
    <t>12163 allocation</t>
  </si>
  <si>
    <t>SQA 利润率</t>
  </si>
  <si>
    <t>12277 SVS</t>
  </si>
  <si>
    <t>Red 利润率</t>
  </si>
  <si>
    <t>12277 SVS-BDP</t>
  </si>
  <si>
    <t>BDP 利润率</t>
  </si>
  <si>
    <t>12277 SVS-HA</t>
  </si>
  <si>
    <t>HA 利润率</t>
  </si>
  <si>
    <t>12277 SVS-PE</t>
  </si>
  <si>
    <t>PCAPP-IP&amp;S</t>
  </si>
  <si>
    <t>PCAPP 利润率</t>
  </si>
  <si>
    <t>Network service-SIE</t>
  </si>
  <si>
    <t>Network service 利润率</t>
  </si>
  <si>
    <t>Lyon 利润率</t>
  </si>
  <si>
    <t>12273 利润率</t>
  </si>
  <si>
    <t>PFX-IP&amp;S</t>
  </si>
  <si>
    <t>OS单价2W</t>
  </si>
  <si>
    <t>PFX  利润率</t>
  </si>
  <si>
    <t>(MBT)Test automation-Other</t>
  </si>
  <si>
    <t>(MBT)Test automation 利润率</t>
  </si>
  <si>
    <t>Gloria 利润率</t>
  </si>
  <si>
    <t>SVP 利润率</t>
  </si>
  <si>
    <t>Other 利润率</t>
  </si>
  <si>
    <t>12278-SLSI</t>
  </si>
  <si>
    <t>SLSI  利润率</t>
  </si>
  <si>
    <t>Project Name OS fee</t>
  </si>
  <si>
    <t>Project Name</t>
  </si>
  <si>
    <t>Grade</t>
  </si>
  <si>
    <t>Unit Price（RMB）</t>
  </si>
  <si>
    <t>12163 Sub TTL</t>
  </si>
  <si>
    <t>EXPAT-VP</t>
  </si>
  <si>
    <t>EXPAT-G6</t>
  </si>
  <si>
    <t>G7</t>
  </si>
  <si>
    <t>G6</t>
  </si>
  <si>
    <t>12272 Sub TTL</t>
  </si>
  <si>
    <t>G5-A</t>
  </si>
  <si>
    <t>G5</t>
  </si>
  <si>
    <t>G4-A</t>
  </si>
  <si>
    <t>G4</t>
  </si>
  <si>
    <t>12273 Sub TTL</t>
  </si>
  <si>
    <t>G3</t>
  </si>
  <si>
    <t>12276 Sub TTL</t>
  </si>
  <si>
    <t>Refund</t>
  </si>
  <si>
    <t>Sub TTL(no admin)</t>
  </si>
  <si>
    <t>12277 Sub TTL</t>
  </si>
  <si>
    <t>12278 Sub TTL</t>
  </si>
  <si>
    <t>ALL</t>
  </si>
  <si>
    <t>ALL exclude admin</t>
  </si>
  <si>
    <t>Project Name
R&amp;D 客户承担</t>
  </si>
  <si>
    <t>Project Name
Travel 客户承担</t>
  </si>
  <si>
    <t>PFX-Kevin,Joy</t>
  </si>
  <si>
    <t>PFX-Huaxia</t>
  </si>
  <si>
    <t>备注</t>
  </si>
  <si>
    <t>根据Monthly/CFG数据更新SET cost。</t>
  </si>
  <si>
    <t>①需扣除客户承担的费用，如Travel、设备等。</t>
  </si>
  <si>
    <t>②HC,OS人数根据CFG更新。</t>
  </si>
  <si>
    <t>③若数据在引用CFG基础上有更新，需备注。</t>
  </si>
  <si>
    <t>SET cost更新好之后，PL的中12272和12222的数据会自动更新。</t>
  </si>
  <si>
    <t>①12273：数据不清楚的地方问Olive。</t>
  </si>
  <si>
    <t>②PFX(DI)</t>
  </si>
  <si>
    <t>③Gloria外籍费用每月只记入Gloria费用中</t>
  </si>
  <si>
    <t>更新FY16 SET，自动更新PL中的revenue。</t>
  </si>
  <si>
    <t>找Rebecca取OS数据</t>
  </si>
  <si>
    <t>Rita的费用由12272和12277平摊。</t>
  </si>
  <si>
    <t>与Monthly/Actual 核对本月各项总数据。</t>
  </si>
  <si>
    <t>①OS费用中，部分费用在FY15已预支掉。</t>
  </si>
  <si>
    <t>memo:</t>
  </si>
  <si>
    <t>1,从12272 others里费用每月减1500 给12277，备注一下是50M的VPN 费用</t>
  </si>
  <si>
    <t>2,Rental是指上海的办公室租赁，仅上海项目分摊。12272不摊，12273的PFX也不分摊。</t>
  </si>
  <si>
    <t>3,12271仅无锡项目分摊。12273的LSI和12276不分摊。</t>
  </si>
  <si>
    <t>4,12277王文欢的OS总人数要看实际出勤天数来计算。</t>
  </si>
  <si>
    <t>5,每月问Rebecca取外籍费用</t>
  </si>
  <si>
    <t>6,外籍费用单列给各项目</t>
  </si>
  <si>
    <t>7,MBT 和Slam 统合运用4个resource，根据临时状况协调；3Q还继续保留，两条线同步再走；
那么你在MBT有收入的月里就放一个OS的费用在MBT项目，其他月里4个OS 都放在R&amp;D 项目中。</t>
  </si>
  <si>
    <t>yujing放在MBT，其他放在R&amp;D</t>
  </si>
  <si>
    <t>SGA</t>
  </si>
  <si>
    <t>IS</t>
  </si>
  <si>
    <t>Schina</t>
  </si>
  <si>
    <t>Traveling</t>
  </si>
  <si>
    <t>CSC</t>
  </si>
  <si>
    <t>others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</si>
  <si>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</si>
  <si>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</si>
  <si>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</si>
  <si>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</si>
  <si>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</si>
  <si>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</si>
  <si>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</si>
  <si>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</si>
  <si>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</si>
  <si>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1月</t>
  </si>
  <si>
    <t>2月</t>
  </si>
  <si>
    <t>3月</t>
  </si>
  <si>
    <t>SH</t>
  </si>
  <si>
    <t>WX</t>
  </si>
  <si>
    <t>PL(OS以外cost）</t>
  </si>
  <si>
    <t>PL OS cost</t>
  </si>
  <si>
    <t>记入Others&amp;12163的费用</t>
  </si>
  <si>
    <t>SGA（OS以外cost）</t>
  </si>
  <si>
    <t>SGA OS cost</t>
  </si>
  <si>
    <t>1Q</t>
  </si>
  <si>
    <t>5556-60=5496</t>
  </si>
  <si>
    <t>4667+60=4727</t>
  </si>
  <si>
    <t>Adimin费用60</t>
  </si>
  <si>
    <t>2Q</t>
  </si>
  <si>
    <t>5742-73=5669</t>
  </si>
  <si>
    <t>5017+73=5090</t>
  </si>
  <si>
    <t>Adimin费用73</t>
  </si>
  <si>
    <t>3Q</t>
  </si>
  <si>
    <t>5513-58=5455</t>
  </si>
  <si>
    <t>5786+58=5844</t>
  </si>
  <si>
    <t>Adimin费用58</t>
  </si>
  <si>
    <t>4Q</t>
  </si>
  <si>
    <t>6332-58-540=5734</t>
  </si>
  <si>
    <t>4943+58=5001</t>
  </si>
  <si>
    <t>Adimin费用58，VPN540</t>
  </si>
  <si>
    <t>Personal Exp.</t>
  </si>
  <si>
    <t>Other Exp.</t>
  </si>
  <si>
    <t>ICHIKAWA-san FY16</t>
  </si>
</sst>
</file>

<file path=xl/styles.xml><?xml version="1.0" encoding="utf-8"?>
<styleSheet xmlns="http://schemas.openxmlformats.org/spreadsheetml/2006/main">
  <numFmts count="30">
    <numFmt formatCode="[$-409]mmm/yy;@" numFmtId="164"/>
    <numFmt formatCode="_ * #,##0_ ;_ * \-#,##0_ ;_ * &quot;-&quot;??_ ;_ @_ " numFmtId="165"/>
    <numFmt formatCode="_ * #,##0.0000_ ;_ * \-#,##0.0000_ ;_ * &quot;-&quot;??_ ;_ @_ " numFmtId="166"/>
    <numFmt formatCode="_(* #,##0_);_(* \(#,##0\);_(* &quot;-&quot;??_);_(@_)" numFmtId="167"/>
    <numFmt formatCode="0_ " numFmtId="168"/>
    <numFmt formatCode="#,##0_ ;[Red]\-#,##0\ " numFmtId="169"/>
    <numFmt formatCode="_ * #,##0_ ;[Red]_ * \-#,##0_ ;_ * &quot;-&quot;_ ;_ @_ " numFmtId="170"/>
    <numFmt formatCode="0.00_);[Red]\(0.00\)" numFmtId="171"/>
    <numFmt formatCode="#,##0_ " numFmtId="172"/>
    <numFmt formatCode="0.0%" numFmtId="173"/>
    <numFmt formatCode="0_);[Red]\(0\)" numFmtId="174"/>
    <numFmt formatCode="_ * #,##0.00_ ;_ * \-#,##0.00_ ;_ * &quot;-&quot;??_ ;_ @_ " numFmtId="175"/>
    <numFmt formatCode="0.0000_);[Red]\(0.0000\)" numFmtId="176"/>
    <numFmt formatCode="0.0_);[Red]\(0.0\)" numFmtId="177"/>
    <numFmt formatCode="#,##0_);[Red]\(#,##0\)" numFmtId="178"/>
    <numFmt formatCode="0.000000" numFmtId="179"/>
    <numFmt formatCode="#,##0.0;[Red]\-#,##0.0" numFmtId="180"/>
    <numFmt formatCode="0.00000_);[Red]\(0.00000\)" numFmtId="181"/>
    <numFmt formatCode="#,##0.00_ " numFmtId="182"/>
    <numFmt formatCode="0_ ;[Red]\-0\ " numFmtId="183"/>
    <numFmt formatCode="_ * #,##0_ ;_ * \-#,##0_ ;_ * &quot;-&quot;_ ;_ @_ " numFmtId="184"/>
    <numFmt formatCode="#,##0.0_);[Red]\(#,##0.0\)" numFmtId="185"/>
    <numFmt formatCode="0.0000" numFmtId="186"/>
    <numFmt formatCode="0.0" numFmtId="187"/>
    <numFmt formatCode="0.000_);[Red]\(0.000\)" numFmtId="188"/>
    <numFmt formatCode="0.0_ " numFmtId="189"/>
    <numFmt formatCode="#,##0.000_ " numFmtId="190"/>
    <numFmt formatCode="#,##0.0000_ " numFmtId="191"/>
    <numFmt formatCode="&quot;¥&quot;#,##0;[Red]&quot;¥&quot;\-#,##0" numFmtId="192"/>
    <numFmt formatCode="[$-10804]&quot;¥&quot;#,##0.00;&quot;¥&quot;\-#,##0.00" numFmtId="193"/>
  </numFmts>
  <fonts count="210">
    <font>
      <name val="宋体"/>
      <charset val="134"/>
      <family val="2"/>
      <color theme="1"/>
      <sz val="11"/>
      <scheme val="minor"/>
    </font>
    <font>
      <name val="Arial"/>
      <family val="2"/>
      <sz val="11"/>
    </font>
    <font>
      <name val="Times New Roman"/>
      <family val="1"/>
      <sz val="12"/>
    </font>
    <font>
      <name val="宋体"/>
      <charset val="134"/>
      <family val="3"/>
      <sz val="12"/>
    </font>
    <font>
      <name val="宋体"/>
      <charset val="134"/>
      <family val="2"/>
      <color theme="1"/>
      <sz val="11"/>
      <scheme val="minor"/>
    </font>
    <font>
      <name val="Arial"/>
      <family val="2"/>
      <sz val="10"/>
    </font>
    <font>
      <name val="宋体"/>
      <charset val="134"/>
      <family val="2"/>
      <sz val="9"/>
      <scheme val="minor"/>
    </font>
    <font>
      <name val="Tahoma"/>
      <family val="2"/>
      <b val="1"/>
      <color indexed="81"/>
      <sz val="9"/>
    </font>
    <font>
      <name val="Arial"/>
      <family val="2"/>
      <sz val="9"/>
    </font>
    <font>
      <name val="宋体"/>
      <charset val="134"/>
      <family val="3"/>
      <sz val="9"/>
    </font>
    <font>
      <name val="Arial"/>
      <family val="2"/>
      <b val="1"/>
      <sz val="12"/>
    </font>
    <font>
      <name val="Arial"/>
      <family val="2"/>
      <b val="1"/>
      <sz val="9"/>
    </font>
    <font>
      <name val="Times New Roman"/>
      <family val="1"/>
      <sz val="11"/>
    </font>
    <font>
      <name val="Arial Black"/>
      <family val="2"/>
      <sz val="12"/>
    </font>
    <font>
      <name val="微软雅黑"/>
      <charset val="134"/>
      <family val="2"/>
      <color rgb="FF000000"/>
      <sz val="9"/>
    </font>
    <font>
      <name val="宋体"/>
      <family val="2"/>
      <color theme="1"/>
      <sz val="11"/>
      <scheme val="minor"/>
    </font>
    <font>
      <name val="Arial"/>
      <family val="2"/>
      <b val="1"/>
      <sz val="10"/>
    </font>
    <font>
      <name val="Arial"/>
      <family val="2"/>
      <b val="1"/>
      <color theme="0"/>
      <sz val="10"/>
    </font>
    <font>
      <name val="Arial"/>
      <family val="2"/>
      <b val="1"/>
      <color rgb="FFFF0000"/>
      <sz val="10"/>
    </font>
    <font>
      <name val="Arial"/>
      <family val="2"/>
      <b val="1"/>
      <color theme="1"/>
      <sz val="10"/>
    </font>
    <font>
      <name val="Arial"/>
      <family val="2"/>
      <color theme="1"/>
      <sz val="10"/>
    </font>
    <font>
      <name val="Arial"/>
      <family val="2"/>
      <color rgb="FF0000CC"/>
      <sz val="10"/>
    </font>
    <font>
      <name val="宋体"/>
      <charset val="134"/>
      <family val="2"/>
      <sz val="11"/>
      <scheme val="minor"/>
    </font>
    <font>
      <name val="微软雅黑"/>
      <charset val="134"/>
      <family val="2"/>
      <b val="1"/>
      <sz val="12"/>
    </font>
    <font>
      <name val="Arial"/>
      <family val="2"/>
      <b val="1"/>
      <color theme="0"/>
      <sz val="9"/>
    </font>
    <font>
      <name val="宋体"/>
      <charset val="134"/>
      <family val="2"/>
      <b val="1"/>
      <sz val="11"/>
      <scheme val="minor"/>
    </font>
    <font>
      <name val="Arial"/>
      <family val="2"/>
      <b val="1"/>
      <color theme="0"/>
      <sz val="12"/>
    </font>
    <font>
      <name val="Arial"/>
      <family val="2"/>
      <color theme="1"/>
      <sz val="9"/>
    </font>
    <font>
      <name val="Arial"/>
      <family val="2"/>
      <b val="1"/>
      <color theme="1"/>
      <sz val="9"/>
    </font>
    <font>
      <name val="Arial"/>
      <family val="2"/>
      <color rgb="FFFFFFFF"/>
      <sz val="9"/>
    </font>
    <font>
      <name val="Arial"/>
      <family val="2"/>
      <color rgb="FF0070C0"/>
      <sz val="9"/>
    </font>
    <font>
      <name val="Arial"/>
      <family val="2"/>
      <b val="1"/>
      <color rgb="FF0070C0"/>
      <sz val="9"/>
    </font>
    <font>
      <name val="Arial"/>
      <family val="2"/>
      <color rgb="FF000000"/>
      <sz val="9"/>
    </font>
    <font>
      <name val="Arial"/>
      <family val="2"/>
      <b val="1"/>
      <color rgb="FF000000"/>
      <sz val="9"/>
    </font>
    <font>
      <name val="Arial"/>
      <family val="2"/>
      <color theme="0"/>
      <sz val="9"/>
    </font>
    <font>
      <name val="Arial"/>
      <family val="2"/>
      <b val="1"/>
      <color rgb="FF660033"/>
      <sz val="9"/>
    </font>
    <font>
      <name val="Arial"/>
      <family val="2"/>
      <b val="1"/>
      <color rgb="FF00B050"/>
      <sz val="9"/>
    </font>
    <font>
      <name val="Arial"/>
      <family val="2"/>
      <color theme="0"/>
      <sz val="10"/>
    </font>
    <font>
      <name val="Arial"/>
      <family val="2"/>
      <b val="1"/>
      <color rgb="FF9900FF"/>
      <sz val="9"/>
    </font>
    <font>
      <name val="Arial"/>
      <family val="2"/>
      <b val="1"/>
      <color rgb="FF9900FF"/>
      <sz val="11"/>
    </font>
    <font>
      <name val="Arial"/>
      <family val="2"/>
      <b val="1"/>
      <color rgb="FFFF0066"/>
      <sz val="9"/>
    </font>
    <font>
      <name val="Arial"/>
      <family val="2"/>
      <b val="1"/>
      <color rgb="FF0000CC"/>
      <sz val="9"/>
    </font>
    <font>
      <name val="Arial"/>
      <family val="2"/>
      <color rgb="FFFF0000"/>
      <sz val="9"/>
    </font>
    <font>
      <name val="Arial"/>
      <family val="2"/>
      <color rgb="FF660066"/>
      <sz val="9"/>
    </font>
    <font>
      <name val="Verdana"/>
      <family val="2"/>
      <color theme="1"/>
      <sz val="9"/>
    </font>
    <font>
      <name val="Arial"/>
      <family val="2"/>
      <b val="1"/>
      <color theme="5" tint="-0.499984740745262"/>
      <sz val="9"/>
    </font>
    <font>
      <name val="Times New Roman"/>
      <family val="1"/>
      <b val="1"/>
      <color theme="0"/>
      <sz val="12"/>
    </font>
    <font>
      <name val="Arial"/>
      <family val="2"/>
      <b val="1"/>
      <color rgb="FF800000"/>
      <sz val="10"/>
    </font>
    <font>
      <name val="宋体"/>
      <charset val="134"/>
      <family val="2"/>
      <sz val="10"/>
      <scheme val="minor"/>
    </font>
    <font>
      <name val="Tahoma"/>
      <family val="2"/>
      <color indexed="81"/>
      <sz val="9"/>
    </font>
    <font>
      <name val="宋体"/>
      <charset val="134"/>
      <family val="3"/>
      <color indexed="81"/>
      <sz val="9"/>
    </font>
    <font>
      <name val="宋体"/>
      <charset val="134"/>
      <family val="3"/>
      <b val="1"/>
      <color indexed="81"/>
      <sz val="9"/>
    </font>
    <font>
      <name val="微软雅黑"/>
      <charset val="134"/>
      <family val="2"/>
      <b val="1"/>
      <sz val="10"/>
    </font>
    <font>
      <name val="微软雅黑"/>
      <charset val="134"/>
      <family val="2"/>
      <sz val="10"/>
    </font>
    <font>
      <name val="微软雅黑"/>
      <charset val="134"/>
      <family val="2"/>
      <color theme="1"/>
      <sz val="10"/>
    </font>
    <font>
      <name val="Arial"/>
      <family val="2"/>
      <b val="1"/>
      <color rgb="FFFF0000"/>
      <sz val="9"/>
    </font>
    <font>
      <name val="Calibri"/>
      <family val="2"/>
      <b val="1"/>
      <sz val="11"/>
    </font>
    <font>
      <name val="Arial"/>
      <family val="2"/>
      <b val="1"/>
      <sz val="9"/>
      <u val="single"/>
    </font>
    <font>
      <name val="微软雅黑"/>
      <charset val="134"/>
      <family val="2"/>
      <color rgb="FFFF0000"/>
      <sz val="10"/>
    </font>
    <font>
      <name val="微软雅黑"/>
      <charset val="134"/>
      <family val="2"/>
      <b val="1"/>
      <color rgb="FFFF0000"/>
      <sz val="10"/>
    </font>
    <font>
      <name val="Arial Unicode MS"/>
      <charset val="134"/>
      <family val="2"/>
      <sz val="12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10"/>
    </font>
    <font>
      <name val="Arial"/>
      <family val="2"/>
      <b val="1"/>
      <color rgb="FF000099"/>
      <sz val="9"/>
    </font>
    <font>
      <name val="Arial"/>
      <family val="2"/>
      <sz val="12"/>
    </font>
    <font>
      <name val="ＭＳ Ｐゴシック"/>
      <family val="2"/>
      <b val="1"/>
      <sz val="12"/>
    </font>
    <font>
      <name val="宋体"/>
      <charset val="134"/>
      <family val="2"/>
      <b val="1"/>
      <sz val="10"/>
      <scheme val="minor"/>
    </font>
    <font>
      <name val="Arial"/>
      <family val="2"/>
      <b val="1"/>
      <color rgb="FF008000"/>
      <sz val="9"/>
    </font>
    <font>
      <name val="Arial"/>
      <family val="2"/>
      <b val="1"/>
      <color rgb="FF006600"/>
      <sz val="9"/>
    </font>
    <font>
      <name val="Arial"/>
      <family val="2"/>
      <b val="1"/>
      <color rgb="FF0000CC"/>
      <sz val="10"/>
    </font>
    <font>
      <name val="宋体"/>
      <charset val="134"/>
      <family val="3"/>
      <sz val="10"/>
    </font>
    <font>
      <name val="Calibri"/>
      <family val="2"/>
      <sz val="11"/>
    </font>
    <font>
      <name val="Calibri"/>
      <family val="2"/>
      <color rgb="FF0000CC"/>
      <sz val="11"/>
    </font>
    <font>
      <name val="Tahoma"/>
      <family val="2"/>
      <color theme="1"/>
      <sz val="8"/>
    </font>
    <font>
      <name val="Tahoma"/>
      <family val="2"/>
      <b val="1"/>
      <color rgb="FF002060"/>
      <sz val="8"/>
    </font>
    <font>
      <name val="Tahoma"/>
      <family val="2"/>
      <sz val="8"/>
    </font>
    <font>
      <name val="Tahoma"/>
      <family val="2"/>
      <color theme="0"/>
      <sz val="6"/>
    </font>
    <font>
      <name val="Tahoma"/>
      <family val="2"/>
      <b val="1"/>
      <color theme="0"/>
      <sz val="8"/>
    </font>
    <font>
      <name val="Tahoma"/>
      <family val="2"/>
      <b val="1"/>
      <color theme="0"/>
      <sz val="6"/>
    </font>
    <font>
      <name val="宋体"/>
      <family val="2"/>
      <b val="1"/>
      <color theme="0"/>
      <sz val="8"/>
    </font>
    <font>
      <name val="Calibri"/>
      <family val="2"/>
      <b val="1"/>
      <color theme="0"/>
      <sz val="8"/>
    </font>
    <font>
      <name val="宋体"/>
      <charset val="134"/>
      <family val="3"/>
      <color theme="1"/>
      <sz val="8"/>
    </font>
    <font>
      <name val="Tahoma"/>
      <family val="2"/>
      <b val="1"/>
      <color theme="1"/>
      <sz val="8"/>
    </font>
    <font>
      <name val="Tahoma"/>
      <family val="2"/>
      <b val="1"/>
      <color rgb="FF660066"/>
      <sz val="8"/>
    </font>
    <font>
      <name val="Tahoma"/>
      <family val="2"/>
      <b val="1"/>
      <sz val="8"/>
    </font>
    <font>
      <name val="Tahoma"/>
      <family val="2"/>
      <color rgb="FF0000CC"/>
      <sz val="8"/>
    </font>
    <font>
      <name val="Tahoma"/>
      <family val="2"/>
      <b val="1"/>
      <color rgb="FF005C00"/>
      <sz val="8"/>
    </font>
    <font>
      <name val="Tahoma"/>
      <family val="2"/>
      <b val="1"/>
      <color theme="0"/>
      <sz val="12"/>
    </font>
    <font>
      <name val="Tahoma"/>
      <family val="2"/>
      <b val="1"/>
      <color rgb="FFFFFF00"/>
      <sz val="8"/>
    </font>
    <font>
      <name val="Tahoma"/>
      <family val="2"/>
      <color rgb="FFC00000"/>
      <sz val="8"/>
    </font>
    <font>
      <name val="Tahoma"/>
      <family val="2"/>
      <b val="1"/>
      <color rgb="FFC00000"/>
      <sz val="8"/>
    </font>
    <font>
      <name val="Tahoma"/>
      <family val="2"/>
      <color rgb="FFC00000"/>
      <sz val="6"/>
    </font>
    <font>
      <name val="Tahoma"/>
      <family val="2"/>
      <color rgb="FF006600"/>
      <sz val="8"/>
    </font>
    <font>
      <name val="Tahoma"/>
      <family val="2"/>
      <b val="1"/>
      <color rgb="FF006600"/>
      <sz val="8"/>
    </font>
    <font>
      <name val="Tahoma"/>
      <family val="2"/>
      <color rgb="FF006600"/>
      <sz val="6"/>
    </font>
    <font>
      <name val="Tahoma"/>
      <family val="2"/>
      <color rgb="FFCC6600"/>
      <sz val="8"/>
    </font>
    <font>
      <name val="Tahoma"/>
      <family val="2"/>
      <b val="1"/>
      <color rgb="FFCC6600"/>
      <sz val="8"/>
    </font>
    <font>
      <name val="Tahoma"/>
      <family val="2"/>
      <color rgb="FFCC6600"/>
      <sz val="6"/>
    </font>
    <font>
      <name val="Tahoma"/>
      <family val="2"/>
      <color theme="3" tint="0.3999755851924192"/>
      <sz val="8"/>
    </font>
    <font>
      <name val="微软雅黑"/>
      <charset val="134"/>
      <family val="2"/>
      <b val="1"/>
      <color theme="1"/>
      <sz val="8"/>
    </font>
    <font>
      <name val="微软雅黑"/>
      <charset val="134"/>
      <family val="2"/>
      <b val="1"/>
      <sz val="8"/>
    </font>
    <font>
      <name val="Tahoma"/>
      <family val="2"/>
      <b val="1"/>
      <color theme="3" tint="0.3999755851924192"/>
      <sz val="8"/>
    </font>
    <font>
      <name val="宋体"/>
      <charset val="134"/>
      <family val="3"/>
      <b val="1"/>
      <color theme="0"/>
      <sz val="8"/>
    </font>
    <font>
      <name val="宋体"/>
      <charset val="134"/>
      <family val="3"/>
      <b val="1"/>
      <color rgb="FFFF0000"/>
      <sz val="12"/>
      <scheme val="minor"/>
    </font>
    <font>
      <name val="微软雅黑"/>
      <charset val="134"/>
      <family val="2"/>
      <b val="1"/>
      <sz val="9"/>
    </font>
    <font>
      <name val="微软雅黑"/>
      <charset val="134"/>
      <family val="2"/>
      <sz val="9"/>
    </font>
    <font>
      <name val="微软雅黑"/>
      <charset val="134"/>
      <family val="2"/>
      <b val="1"/>
      <color theme="2"/>
      <sz val="9"/>
    </font>
    <font>
      <name val="微软雅黑"/>
      <charset val="134"/>
      <family val="2"/>
      <color theme="2"/>
      <sz val="9"/>
    </font>
    <font>
      <name val="微软雅黑"/>
      <charset val="134"/>
      <family val="2"/>
      <sz val="12"/>
    </font>
    <font>
      <name val="微软雅黑"/>
      <charset val="134"/>
      <family val="2"/>
      <color theme="1"/>
      <sz val="9"/>
    </font>
    <font>
      <name val="微软雅黑"/>
      <charset val="134"/>
      <family val="2"/>
      <b val="1"/>
      <color theme="0"/>
      <sz val="11"/>
    </font>
    <font>
      <name val="微软雅黑"/>
      <charset val="134"/>
      <family val="2"/>
      <b val="1"/>
      <color theme="2"/>
      <sz val="11"/>
    </font>
    <font>
      <name val="Calibri"/>
      <family val="2"/>
      <b val="1"/>
      <color theme="0"/>
      <sz val="11"/>
    </font>
    <font>
      <name val="Calibri"/>
      <family val="2"/>
      <color theme="0"/>
      <sz val="11"/>
    </font>
    <font>
      <name val="Tahoma"/>
      <family val="2"/>
      <b val="1"/>
      <color rgb="FF800080"/>
      <sz val="8"/>
    </font>
    <font>
      <name val="微软雅黑"/>
      <charset val="134"/>
      <family val="2"/>
      <color rgb="FF000099"/>
      <sz val="9"/>
    </font>
    <font>
      <name val="FangSong"/>
      <charset val="134"/>
      <family val="3"/>
      <sz val="9"/>
    </font>
    <font>
      <name val="宋体"/>
      <charset val="134"/>
      <family val="3"/>
      <b val="1"/>
      <sz val="11"/>
      <scheme val="minor"/>
    </font>
    <font>
      <name val="Arial"/>
      <family val="2"/>
      <color rgb="FF3333CC"/>
      <sz val="10"/>
    </font>
    <font>
      <name val="宋体"/>
      <charset val="134"/>
      <family val="3"/>
      <color theme="1"/>
      <sz val="9"/>
      <scheme val="major"/>
    </font>
    <font>
      <name val="Arial"/>
      <family val="2"/>
      <color rgb="FF3333CC"/>
      <sz val="9"/>
    </font>
    <font>
      <name val="微软雅黑"/>
      <charset val="134"/>
      <family val="2"/>
      <color indexed="16"/>
      <sz val="9"/>
    </font>
    <font>
      <name val="微软雅黑"/>
      <charset val="134"/>
      <family val="2"/>
      <color rgb="FFFF0000"/>
      <sz val="9"/>
    </font>
    <font>
      <name val="微软雅黑"/>
      <charset val="134"/>
      <family val="2"/>
      <b val="1"/>
      <color rgb="FF000099"/>
      <sz val="9"/>
    </font>
    <font>
      <name val="Helvetica"/>
      <family val="2"/>
      <sz val="10"/>
    </font>
    <font>
      <name val="ＭＳ Ｐゴシック"/>
      <charset val="128"/>
      <family val="2"/>
      <sz val="11"/>
    </font>
    <font>
      <name val="宋体"/>
      <charset val="128"/>
      <family val="2"/>
      <color theme="1"/>
      <sz val="11"/>
      <scheme val="minor"/>
    </font>
    <font>
      <name val="宋体"/>
      <charset val="134"/>
      <family val="3"/>
      <color theme="1"/>
      <sz val="11"/>
      <scheme val="minor"/>
    </font>
    <font>
      <name val="Calibri"/>
      <family val="2"/>
      <b val="1"/>
      <color rgb="FF000000"/>
      <sz val="11"/>
    </font>
    <font>
      <name val="Tahoma"/>
      <family val="2"/>
      <color theme="5"/>
      <sz val="8"/>
    </font>
    <font>
      <name val="Arial"/>
      <family val="2"/>
      <color rgb="FF0000CC"/>
      <sz val="9"/>
    </font>
    <font>
      <name val="Tahoma"/>
      <family val="2"/>
      <color rgb="FFFF0000"/>
      <sz val="8"/>
    </font>
    <font>
      <name val="Arial"/>
      <family val="2"/>
      <color rgb="FF660033"/>
      <sz val="9"/>
    </font>
    <font>
      <name val="Arial"/>
      <family val="2"/>
      <color theme="5" tint="-0.499984740745262"/>
      <sz val="9"/>
    </font>
    <font>
      <name val="Arial"/>
      <family val="2"/>
      <color rgb="FF00B050"/>
      <sz val="9"/>
    </font>
    <font>
      <name val="Tahoma"/>
      <family val="2"/>
      <b val="1"/>
      <color rgb="FFFF0000"/>
      <sz val="8"/>
    </font>
    <font>
      <name val="宋体"/>
      <charset val="134"/>
      <family val="3"/>
      <b val="1"/>
      <color theme="1"/>
      <sz val="11"/>
      <scheme val="minor"/>
    </font>
    <font>
      <name val="宋体"/>
      <charset val="134"/>
      <family val="2"/>
      <sz val="8"/>
      <scheme val="minor"/>
    </font>
    <font>
      <name val="Tahoma"/>
      <family val="2"/>
      <b val="1"/>
      <color theme="0" tint="-0.0499893185216834"/>
      <sz val="10"/>
    </font>
    <font>
      <name val="FangSong"/>
      <charset val="134"/>
      <family val="3"/>
      <color rgb="FF0000CC"/>
      <sz val="9"/>
    </font>
    <font>
      <name val="Arial"/>
      <family val="2"/>
      <color indexed="62"/>
      <sz val="8"/>
    </font>
    <font>
      <name val="Arial"/>
      <family val="2"/>
      <b val="1"/>
      <color rgb="FF3333CC"/>
      <sz val="9"/>
    </font>
    <font>
      <name val="Arial"/>
      <family val="2"/>
      <color rgb="FF800000"/>
      <sz val="10"/>
    </font>
    <font>
      <name val="Arial Unicode MS"/>
      <charset val="134"/>
      <family val="2"/>
      <b val="1"/>
      <sz val="10"/>
    </font>
    <font>
      <name val="Arial Unicode MS"/>
      <charset val="134"/>
      <family val="2"/>
      <sz val="11"/>
    </font>
    <font>
      <name val="Arial Unicode MS"/>
      <charset val="134"/>
      <family val="2"/>
      <b val="1"/>
      <color rgb="FFFF0000"/>
      <sz val="11"/>
    </font>
    <font>
      <name val="Arial Unicode MS"/>
      <charset val="134"/>
      <family val="2"/>
      <color theme="1"/>
      <sz val="11"/>
    </font>
    <font>
      <name val="Arial"/>
      <family val="2"/>
      <b val="1"/>
      <color rgb="FFC00000"/>
      <sz val="9"/>
    </font>
    <font>
      <name val="Arial"/>
      <family val="2"/>
      <b val="1"/>
      <color rgb="FFC00000"/>
      <sz val="12"/>
    </font>
    <font>
      <name val="Arial Unicode MS"/>
      <charset val="134"/>
      <family val="2"/>
      <b val="1"/>
      <sz val="9"/>
    </font>
    <font>
      <name val="宋体"/>
      <charset val="134"/>
      <family val="3"/>
      <b val="1"/>
      <color rgb="FFC00000"/>
      <sz val="11"/>
      <scheme val="minor"/>
    </font>
    <font>
      <name val="Arial"/>
      <family val="2"/>
      <color rgb="FFC00000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ＭＳ Ｐゴシック"/>
      <charset val="128"/>
      <family val="3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宋体"/>
      <charset val="134"/>
      <family val="3"/>
      <color theme="10"/>
      <sz val="12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宋体"/>
      <charset val="128"/>
      <family val="3"/>
      <color theme="1"/>
      <sz val="11"/>
      <scheme val="minor"/>
    </font>
    <font>
      <name val="Calibri"/>
      <family val="2"/>
      <b val="1"/>
      <color indexed="63"/>
      <sz val="11"/>
    </font>
    <font>
      <name val="Cambria"/>
      <family val="1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ＭＳ Ｐゴシック"/>
      <charset val="128"/>
      <family val="3"/>
      <color theme="1"/>
      <sz val="11"/>
    </font>
    <font>
      <name val="ＭＳ Ｐゴシック"/>
      <family val="2"/>
      <color theme="1"/>
      <sz val="11"/>
    </font>
    <font>
      <name val="宋体"/>
      <charset val="134"/>
      <family val="3"/>
      <color theme="10"/>
      <sz val="11"/>
      <u val="single"/>
    </font>
    <font>
      <name val="宋体"/>
      <charset val="134"/>
      <family val="3"/>
      <color indexed="12"/>
      <sz val="12"/>
      <u val="single"/>
    </font>
    <font>
      <name val="宋体"/>
      <charset val="134"/>
      <family val="3"/>
      <color indexed="17"/>
      <sz val="12"/>
    </font>
    <font>
      <name val="ＭＳ Ｐゴシック"/>
      <charset val="128"/>
      <family val="2"/>
      <color indexed="8"/>
      <sz val="11"/>
    </font>
    <font>
      <name val="ＭＳ Ｐゴシック"/>
      <charset val="128"/>
      <family val="3"/>
      <color indexed="8"/>
      <sz val="11"/>
    </font>
    <font>
      <name val="宋体"/>
      <charset val="134"/>
      <family val="3"/>
      <i val="1"/>
      <color indexed="23"/>
      <sz val="12"/>
    </font>
    <font>
      <name val="宋体"/>
      <charset val="134"/>
      <family val="3"/>
      <b val="1"/>
      <color rgb="FFFF0000"/>
      <sz val="11"/>
      <scheme val="minor"/>
    </font>
    <font>
      <name val="Tahoma"/>
      <family val="2"/>
      <b val="1"/>
      <color rgb="FF0000CC"/>
      <sz val="8"/>
    </font>
    <font>
      <name val="Tahoma"/>
      <family val="2"/>
      <color rgb="FF008000"/>
      <sz val="8"/>
    </font>
    <font>
      <name val="Tahoma"/>
      <family val="2"/>
      <b val="1"/>
      <color rgb="FF008000"/>
      <sz val="8"/>
    </font>
    <font>
      <name val="Verdana"/>
      <family val="2"/>
      <sz val="9"/>
    </font>
    <font>
      <name val="Tahoma"/>
      <family val="2"/>
      <b val="1"/>
      <sz val="14"/>
    </font>
    <font>
      <name val="Verdana"/>
      <family val="2"/>
      <b val="1"/>
      <color rgb="FF000000"/>
      <sz val="9"/>
    </font>
    <font>
      <name val="宋体"/>
      <charset val="134"/>
      <family val="3"/>
      <b val="1"/>
      <color rgb="FF000000"/>
      <sz val="9"/>
    </font>
    <font>
      <name val="Tahoma"/>
      <family val="2"/>
      <sz val="12"/>
    </font>
    <font>
      <name val="Tahoma"/>
      <family val="2"/>
      <color theme="1"/>
      <sz val="12"/>
    </font>
    <font>
      <name val="Verdana"/>
      <family val="2"/>
      <color rgb="FF000000"/>
      <sz val="9"/>
    </font>
    <font>
      <name val="宋体"/>
      <charset val="134"/>
      <family val="2"/>
      <color theme="5"/>
      <sz val="11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4"/>
    </font>
    <font>
      <name val="宋体"/>
      <charset val="134"/>
      <family val="2"/>
      <color rgb="FFFF0000"/>
      <sz val="11"/>
      <scheme val="minor"/>
    </font>
    <font>
      <name val="SimSun"/>
      <charset val="134"/>
      <family val="3"/>
      <color theme="1"/>
      <sz val="11"/>
    </font>
    <font>
      <name val="SimSun"/>
      <charset val="134"/>
      <family val="3"/>
      <b val="1"/>
      <color theme="1"/>
      <sz val="11"/>
    </font>
    <font>
      <name val="微软雅黑"/>
      <charset val="134"/>
      <family val="2"/>
      <b val="1"/>
      <sz val="11"/>
    </font>
    <font>
      <name val="微软雅黑"/>
      <charset val="134"/>
      <family val="2"/>
      <sz val="11"/>
    </font>
    <font>
      <name val="Arial"/>
      <family val="2"/>
      <b val="1"/>
      <color rgb="FF002060"/>
      <sz val="9"/>
    </font>
    <font>
      <name val="Calibri"/>
      <family val="2"/>
      <b val="1"/>
      <color theme="1"/>
      <sz val="11"/>
    </font>
    <font>
      <name val="Calibri"/>
      <family val="2"/>
      <b val="1"/>
      <color rgb="FF0000CC"/>
      <sz val="11"/>
    </font>
    <font>
      <name val="宋体"/>
      <charset val="134"/>
      <family val="3"/>
      <color rgb="FF000000"/>
      <sz val="11"/>
      <scheme val="minor"/>
    </font>
    <font>
      <name val="宋体"/>
      <charset val="134"/>
      <family val="3"/>
      <color rgb="FFFF0000"/>
      <sz val="11"/>
      <scheme val="minor"/>
    </font>
    <font>
      <name val="宋体"/>
      <charset val="134"/>
      <family val="3"/>
      <color theme="5"/>
      <sz val="11"/>
      <scheme val="minor"/>
    </font>
    <font>
      <name val="Calibri"/>
      <family val="2"/>
      <color theme="1"/>
      <sz val="11"/>
    </font>
    <font>
      <name val="宋体"/>
      <charset val="134"/>
      <family val="3"/>
      <b val="1"/>
      <color rgb="FFFF0000"/>
      <sz val="9"/>
    </font>
    <font>
      <name val="宋体"/>
      <charset val="134"/>
      <family val="3"/>
      <b val="1"/>
      <color indexed="81"/>
      <sz val="7"/>
    </font>
    <font>
      <name val="宋体"/>
      <charset val="134"/>
      <family val="3"/>
      <color indexed="81"/>
      <sz val="7"/>
    </font>
    <font>
      <name val="Calibri"/>
      <family val="2"/>
      <color rgb="FFC00000"/>
      <sz val="11"/>
    </font>
  </fonts>
  <fills count="97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651517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894167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9"/>
        <bgColor indexed="64"/>
      </patternFill>
    </fill>
  </fills>
  <borders count="20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/>
      <top style="thin">
        <color indexed="65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double">
        <color indexed="64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indexed="64"/>
      </bottom>
      <diagonal/>
    </border>
    <border>
      <left style="hair">
        <color indexed="64"/>
      </left>
      <right style="double">
        <color auto="1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CC0099"/>
      </top>
      <bottom style="medium">
        <color indexed="64"/>
      </bottom>
      <diagonal/>
    </border>
    <border>
      <left/>
      <right style="thin">
        <color indexed="64"/>
      </right>
      <top style="medium">
        <color rgb="FFCC0099"/>
      </top>
      <bottom style="medium">
        <color indexed="64"/>
      </bottom>
      <diagonal/>
    </border>
    <border>
      <left style="thin">
        <color indexed="64"/>
      </left>
      <right/>
      <top style="medium">
        <color rgb="FFCC0099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thin">
        <color auto="1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>
      <left/>
      <right/>
      <top style="thick">
        <color rgb="FF0000FF"/>
      </top>
      <bottom style="thick">
        <color rgb="FF0000FF"/>
      </bottom>
      <diagonal/>
    </border>
    <border>
      <left style="thin">
        <color indexed="64"/>
      </left>
      <right style="hair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8000"/>
      </left>
      <right/>
      <top style="thick">
        <color rgb="FF008000"/>
      </top>
      <bottom style="thick">
        <color rgb="FF008000"/>
      </bottom>
      <diagonal/>
    </border>
    <border>
      <left/>
      <right/>
      <top style="thick">
        <color rgb="FF008000"/>
      </top>
      <bottom style="thick">
        <color rgb="FF008000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double">
        <color indexed="64"/>
      </top>
      <bottom style="double">
        <color indexed="64"/>
      </bottom>
      <diagonal/>
    </border>
    <border>
      <left style="thin">
        <color auto="1"/>
      </left>
      <right/>
      <top style="double">
        <color indexed="64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hair">
        <color indexed="64"/>
      </left>
      <right style="double">
        <color auto="1"/>
      </right>
      <top/>
      <bottom/>
      <diagonal/>
    </border>
    <border>
      <left style="hair">
        <color indexed="64"/>
      </left>
      <right style="double">
        <color auto="1"/>
      </right>
      <top style="thin">
        <color auto="1"/>
      </top>
      <bottom/>
      <diagonal/>
    </border>
    <border>
      <left style="thin">
        <color indexed="64"/>
      </left>
      <right/>
      <top style="medium">
        <color rgb="FFCC0099"/>
      </top>
      <bottom/>
      <diagonal/>
    </border>
    <border>
      <left style="double">
        <color indexed="64"/>
      </left>
      <right/>
      <top/>
      <bottom/>
      <diagonal/>
    </border>
    <border>
      <left/>
      <right style="thick">
        <color rgb="FF008000"/>
      </right>
      <top style="thick">
        <color rgb="FF008000"/>
      </top>
      <bottom style="thick">
        <color rgb="FF008000"/>
      </bottom>
      <diagonal/>
    </border>
    <border>
      <left/>
      <right style="thin">
        <color indexed="64"/>
      </right>
      <top style="medium">
        <color rgb="FFCC009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599">
    <xf borderId="0" fillId="0" fontId="4" numFmtId="164"/>
    <xf applyAlignment="1" borderId="0" fillId="0" fontId="1" numFmtId="175">
      <alignment vertical="center"/>
    </xf>
    <xf applyAlignment="1" borderId="0" fillId="0" fontId="1" numFmtId="164">
      <alignment vertical="center"/>
    </xf>
    <xf applyAlignment="1" borderId="0" fillId="0" fontId="3" numFmtId="164">
      <alignment vertical="center"/>
    </xf>
    <xf applyAlignment="1" borderId="0" fillId="0" fontId="1" numFmtId="0">
      <alignment vertical="center"/>
    </xf>
    <xf borderId="0" fillId="0" fontId="2" numFmtId="164"/>
    <xf borderId="0" fillId="0" fontId="2" numFmtId="164"/>
    <xf borderId="0" fillId="0" fontId="5" numFmtId="164"/>
    <xf borderId="0" fillId="0" fontId="5" numFmtId="175"/>
    <xf applyAlignment="1" borderId="0" fillId="0" fontId="1" numFmtId="175">
      <alignment vertical="center"/>
    </xf>
    <xf borderId="0" fillId="0" fontId="4" numFmtId="164"/>
    <xf applyAlignment="1" borderId="0" fillId="0" fontId="3" numFmtId="164">
      <alignment vertical="center"/>
    </xf>
    <xf applyAlignment="1" borderId="0" fillId="0" fontId="4" numFmtId="164">
      <alignment vertical="center"/>
    </xf>
    <xf applyAlignment="1" borderId="0" fillId="0" fontId="4" numFmtId="164">
      <alignment vertical="center"/>
    </xf>
    <xf borderId="0" fillId="0" fontId="5" numFmtId="175"/>
    <xf borderId="0" fillId="0" fontId="5" numFmtId="175"/>
    <xf applyAlignment="1" borderId="0" fillId="0" fontId="1" numFmtId="0">
      <alignment vertical="center"/>
    </xf>
    <xf applyAlignment="1" borderId="0" fillId="0" fontId="1" numFmtId="0">
      <alignment vertical="center"/>
    </xf>
    <xf applyAlignment="1" borderId="0" fillId="0" fontId="4" numFmtId="164">
      <alignment vertical="center"/>
    </xf>
    <xf applyAlignment="1" borderId="0" fillId="0" fontId="4" numFmtId="164">
      <alignment vertical="center"/>
    </xf>
    <xf applyAlignment="1" borderId="0" fillId="0" fontId="4" numFmtId="164">
      <alignment vertical="center"/>
    </xf>
    <xf applyAlignment="1" borderId="0" fillId="0" fontId="4" numFmtId="164">
      <alignment vertical="center"/>
    </xf>
    <xf borderId="0" fillId="0" fontId="3" numFmtId="164"/>
    <xf applyAlignment="1" borderId="0" fillId="0" fontId="3" numFmtId="164">
      <alignment vertical="center"/>
    </xf>
    <xf borderId="0" fillId="0" fontId="3" numFmtId="164"/>
    <xf borderId="0" fillId="0" fontId="3" numFmtId="164"/>
    <xf applyAlignment="1" borderId="0" fillId="0" fontId="1" numFmtId="164">
      <alignment vertical="center"/>
    </xf>
    <xf applyAlignment="1" borderId="0" fillId="0" fontId="1" numFmtId="164">
      <alignment vertical="center"/>
    </xf>
    <xf borderId="0" fillId="0" fontId="4" numFmtId="164"/>
    <xf borderId="0" fillId="0" fontId="5" numFmtId="164"/>
    <xf borderId="0" fillId="0" fontId="3" numFmtId="164"/>
    <xf applyAlignment="1" borderId="0" fillId="0" fontId="3" numFmtId="175">
      <alignment vertical="center"/>
    </xf>
    <xf applyAlignment="1" borderId="0" fillId="0" fontId="1" numFmtId="175">
      <alignment vertical="center"/>
    </xf>
    <xf applyAlignment="1" borderId="0" fillId="0" fontId="3" numFmtId="175">
      <alignment vertical="center"/>
    </xf>
    <xf borderId="0" fillId="0" fontId="4" numFmtId="43"/>
    <xf borderId="0" fillId="0" fontId="4" numFmtId="43"/>
    <xf borderId="0" fillId="0" fontId="5" numFmtId="175"/>
    <xf applyAlignment="1" borderId="0" fillId="0" fontId="4" numFmtId="175">
      <alignment vertical="center"/>
    </xf>
    <xf applyAlignment="1" borderId="0" fillId="0" fontId="4" numFmtId="175">
      <alignment vertical="center"/>
    </xf>
    <xf applyAlignment="1" borderId="0" fillId="0" fontId="3" numFmtId="184">
      <alignment vertical="center"/>
    </xf>
    <xf applyAlignment="1" borderId="0" fillId="0" fontId="1" numFmtId="184">
      <alignment vertical="center"/>
    </xf>
    <xf borderId="0" fillId="0" fontId="5" numFmtId="184"/>
    <xf borderId="0" fillId="0" fontId="5" numFmtId="0"/>
    <xf applyAlignment="1" borderId="0" fillId="0" fontId="4" numFmtId="175">
      <alignment vertical="center"/>
    </xf>
    <xf borderId="0" fillId="0" fontId="4" numFmtId="43"/>
    <xf borderId="0" fillId="0" fontId="4" numFmtId="43"/>
    <xf borderId="0" fillId="0" fontId="4" numFmtId="164"/>
    <xf borderId="0" fillId="0" fontId="4" numFmtId="164"/>
    <xf borderId="0" fillId="0" fontId="15" numFmtId="164"/>
    <xf applyAlignment="1" borderId="0" fillId="0" fontId="15" numFmtId="175">
      <alignment vertical="center"/>
    </xf>
    <xf applyAlignment="1" borderId="0" fillId="0" fontId="4" numFmtId="0">
      <alignment vertical="center"/>
    </xf>
    <xf borderId="0" fillId="0" fontId="4" numFmtId="164"/>
    <xf borderId="0" fillId="0" fontId="4" numFmtId="164"/>
    <xf borderId="0" fillId="0" fontId="4" numFmtId="165"/>
    <xf applyAlignment="1" borderId="0" fillId="0" fontId="4" numFmtId="175">
      <alignment vertical="center"/>
    </xf>
    <xf applyAlignment="1" borderId="0" fillId="0" fontId="4" numFmtId="164">
      <alignment vertical="center"/>
    </xf>
    <xf applyAlignment="1" borderId="0" fillId="0" fontId="4" numFmtId="0">
      <alignment vertical="center"/>
    </xf>
    <xf applyAlignment="1" borderId="0" fillId="0" fontId="3" numFmtId="164">
      <alignment vertical="center"/>
    </xf>
    <xf applyAlignment="1" borderId="0" fillId="0" fontId="4" numFmtId="0">
      <alignment vertical="center"/>
    </xf>
    <xf applyAlignment="1" borderId="0" fillId="0" fontId="4" numFmtId="0">
      <alignment vertical="center"/>
    </xf>
    <xf applyAlignment="1" borderId="0" fillId="0" fontId="4" numFmtId="175">
      <alignment vertical="center"/>
    </xf>
    <xf borderId="0" fillId="0" fontId="3" numFmtId="164"/>
    <xf applyAlignment="1" borderId="0" fillId="0" fontId="4" numFmtId="0">
      <alignment vertical="center"/>
    </xf>
    <xf applyAlignment="1" borderId="0" fillId="0" fontId="4" numFmtId="0">
      <alignment vertical="center"/>
    </xf>
    <xf applyAlignment="1" borderId="0" fillId="0" fontId="4" numFmtId="164">
      <alignment vertical="center"/>
    </xf>
    <xf borderId="0" fillId="0" fontId="4" numFmtId="164"/>
    <xf borderId="0" fillId="0" fontId="4" numFmtId="164"/>
    <xf applyAlignment="1" borderId="0" fillId="0" fontId="4" numFmtId="175">
      <alignment vertical="center"/>
    </xf>
    <xf borderId="0" fillId="0" fontId="4" numFmtId="165"/>
    <xf borderId="0" fillId="0" fontId="124" numFmtId="164"/>
    <xf borderId="0" fillId="0" fontId="3" numFmtId="164"/>
    <xf applyAlignment="1" borderId="0" fillId="0" fontId="1" numFmtId="164">
      <alignment vertical="center"/>
    </xf>
    <xf applyAlignment="1" borderId="0" fillId="0" fontId="1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borderId="0" fillId="0" fontId="5" numFmtId="164"/>
    <xf borderId="0" fillId="0" fontId="5" numFmtId="164"/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borderId="0" fillId="0" fontId="2" numFmtId="164"/>
    <xf borderId="0" fillId="0" fontId="2" numFmtId="164"/>
    <xf borderId="0" fillId="0" fontId="2" numFmtId="164"/>
    <xf borderId="0" fillId="0" fontId="2" numFmtId="164"/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applyAlignment="1" borderId="0" fillId="0" fontId="4" numFmtId="0">
      <alignment vertical="center"/>
    </xf>
    <xf borderId="0" fillId="0" fontId="5" numFmtId="164"/>
    <xf applyAlignment="1" borderId="0" fillId="0" fontId="3" numFmtId="164">
      <alignment vertical="center"/>
    </xf>
    <xf applyAlignment="1" borderId="0" fillId="0" fontId="125" numFmtId="164">
      <alignment vertical="center"/>
    </xf>
    <xf applyAlignment="1" borderId="0" fillId="0" fontId="4" numFmtId="164">
      <alignment vertical="center"/>
    </xf>
    <xf applyAlignment="1" borderId="0" fillId="0" fontId="4" numFmtId="164">
      <alignment vertical="center"/>
    </xf>
    <xf applyAlignment="1" borderId="0" fillId="0" fontId="4" numFmtId="164">
      <alignment vertical="center"/>
    </xf>
    <xf applyAlignment="1" borderId="0" fillId="0" fontId="4" numFmtId="164">
      <alignment vertical="center"/>
    </xf>
    <xf applyAlignment="1" borderId="0" fillId="0" fontId="4" numFmtId="164">
      <alignment vertical="center"/>
    </xf>
    <xf applyAlignment="1" borderId="0" fillId="0" fontId="4" numFmtId="164">
      <alignment vertical="center"/>
    </xf>
    <xf applyAlignment="1" borderId="0" fillId="0" fontId="4" numFmtId="164">
      <alignment vertical="center"/>
    </xf>
    <xf applyAlignment="1" borderId="0" fillId="0" fontId="4" numFmtId="164">
      <alignment vertical="center"/>
    </xf>
    <xf applyAlignment="1" borderId="0" fillId="0" fontId="4" numFmtId="164">
      <alignment vertical="center"/>
    </xf>
    <xf applyAlignment="1" borderId="0" fillId="0" fontId="4" numFmtId="164">
      <alignment vertical="center"/>
    </xf>
    <xf applyAlignment="1" borderId="0" fillId="0" fontId="4" numFmtId="164">
      <alignment vertical="center"/>
    </xf>
    <xf borderId="0" fillId="0" fontId="15" numFmtId="164"/>
    <xf borderId="0" fillId="0" fontId="15" numFmtId="164"/>
    <xf borderId="0" fillId="0" fontId="4" numFmtId="164"/>
    <xf borderId="0" fillId="0" fontId="4" numFmtId="164"/>
    <xf borderId="0" fillId="0" fontId="4" numFmtId="164"/>
    <xf borderId="0" fillId="0" fontId="4" numFmtId="164"/>
    <xf borderId="0" fillId="0" fontId="4" numFmtId="164"/>
    <xf borderId="0" fillId="0" fontId="4" numFmtId="164"/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borderId="0" fillId="0" fontId="15" numFmtId="164"/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borderId="0" fillId="0" fontId="4" numFmtId="164"/>
    <xf borderId="0" fillId="0" fontId="4" numFmtId="164"/>
    <xf applyAlignment="1" borderId="0" fillId="0" fontId="4" numFmtId="164">
      <alignment vertical="center"/>
    </xf>
    <xf applyAlignment="1" borderId="0" fillId="0" fontId="4" numFmtId="164">
      <alignment vertical="center"/>
    </xf>
    <xf borderId="0" fillId="0" fontId="4" numFmtId="164"/>
    <xf borderId="0" fillId="0" fontId="4" numFmtId="164"/>
    <xf borderId="0" fillId="0" fontId="4" numFmtId="164"/>
    <xf applyAlignment="1" borderId="0" fillId="0" fontId="126" numFmtId="164">
      <alignment vertical="center"/>
    </xf>
    <xf borderId="0" fillId="0" fontId="4" numFmtId="164"/>
    <xf borderId="0" fillId="0" fontId="4" numFmtId="164"/>
    <xf borderId="0" fillId="0" fontId="4" numFmtId="164"/>
    <xf borderId="0" fillId="0" fontId="4" numFmtId="164"/>
    <xf borderId="0" fillId="0" fontId="4" numFmtId="164"/>
    <xf applyAlignment="1" borderId="0" fillId="0" fontId="4" numFmtId="164">
      <alignment vertical="center"/>
    </xf>
    <xf applyAlignment="1" borderId="0" fillId="0" fontId="1" numFmtId="164">
      <alignment vertical="center"/>
    </xf>
    <xf applyAlignment="1" borderId="0" fillId="0" fontId="1" numFmtId="164">
      <alignment vertical="center"/>
    </xf>
    <xf applyAlignment="1" borderId="0" fillId="0" fontId="127" numFmtId="164">
      <alignment vertical="center"/>
    </xf>
    <xf applyAlignment="1" borderId="0" fillId="0" fontId="1" numFmtId="164">
      <alignment vertical="center"/>
    </xf>
    <xf applyAlignment="1" borderId="0" fillId="0" fontId="1" numFmtId="164">
      <alignment vertical="center"/>
    </xf>
    <xf borderId="0" fillId="0" fontId="15" numFmtId="164"/>
    <xf borderId="0" fillId="0" fontId="4" numFmtId="164"/>
    <xf borderId="0" fillId="0" fontId="4" numFmtId="164"/>
    <xf applyAlignment="1" borderId="0" fillId="0" fontId="3" numFmtId="164">
      <alignment vertical="center"/>
    </xf>
    <xf borderId="0" fillId="0" fontId="4" numFmtId="164"/>
    <xf borderId="0" fillId="0" fontId="4" numFmtId="164"/>
    <xf borderId="0" fillId="0" fontId="5" numFmtId="164"/>
    <xf borderId="0" fillId="0" fontId="5" numFmtId="164"/>
    <xf applyAlignment="1" borderId="0" fillId="0" fontId="4" numFmtId="164">
      <alignment vertical="center"/>
    </xf>
    <xf applyAlignment="1" borderId="0" fillId="0" fontId="4" numFmtId="164">
      <alignment vertical="center"/>
    </xf>
    <xf applyAlignment="1" borderId="0" fillId="0" fontId="4" numFmtId="175">
      <alignment vertical="center"/>
    </xf>
    <xf borderId="0" fillId="0" fontId="126" numFmtId="175"/>
    <xf borderId="0" fillId="0" fontId="5" numFmtId="175"/>
    <xf borderId="0" fillId="0" fontId="127" numFmtId="175"/>
    <xf borderId="0" fillId="0" fontId="15" numFmtId="164"/>
    <xf applyAlignment="1" borderId="0" fillId="0" fontId="3" numFmtId="164">
      <alignment vertical="center"/>
    </xf>
    <xf borderId="0" fillId="66" fontId="152" numFmtId="164"/>
    <xf borderId="0" fillId="67" fontId="152" numFmtId="164"/>
    <xf borderId="0" fillId="68" fontId="152" numFmtId="164"/>
    <xf borderId="0" fillId="69" fontId="152" numFmtId="164"/>
    <xf borderId="0" fillId="70" fontId="152" numFmtId="164"/>
    <xf borderId="0" fillId="71" fontId="152" numFmtId="164"/>
    <xf borderId="0" fillId="72" fontId="152" numFmtId="164"/>
    <xf borderId="0" fillId="73" fontId="152" numFmtId="164"/>
    <xf borderId="0" fillId="74" fontId="152" numFmtId="164"/>
    <xf borderId="0" fillId="69" fontId="152" numFmtId="164"/>
    <xf borderId="0" fillId="72" fontId="152" numFmtId="164"/>
    <xf borderId="0" fillId="75" fontId="152" numFmtId="164"/>
    <xf borderId="0" fillId="76" fontId="153" numFmtId="164"/>
    <xf borderId="0" fillId="73" fontId="153" numFmtId="164"/>
    <xf borderId="0" fillId="74" fontId="153" numFmtId="164"/>
    <xf borderId="0" fillId="77" fontId="153" numFmtId="164"/>
    <xf borderId="0" fillId="78" fontId="153" numFmtId="164"/>
    <xf borderId="0" fillId="79" fontId="153" numFmtId="164"/>
    <xf borderId="0" fillId="80" fontId="153" numFmtId="164"/>
    <xf borderId="0" fillId="81" fontId="153" numFmtId="164"/>
    <xf borderId="0" fillId="82" fontId="153" numFmtId="164"/>
    <xf borderId="0" fillId="77" fontId="153" numFmtId="164"/>
    <xf borderId="0" fillId="78" fontId="153" numFmtId="164"/>
    <xf borderId="0" fillId="83" fontId="153" numFmtId="164"/>
    <xf borderId="0" fillId="67" fontId="154" numFmtId="164"/>
    <xf borderId="168" fillId="84" fontId="155" numFmtId="164"/>
    <xf borderId="156" fillId="85" fontId="156" numFmtId="164"/>
    <xf applyAlignment="1" borderId="0" fillId="0" fontId="157" numFmtId="0">
      <alignment vertical="center"/>
    </xf>
    <xf applyAlignment="1" borderId="0" fillId="0" fontId="3" numFmtId="175">
      <alignment vertical="center"/>
    </xf>
    <xf applyAlignment="1" borderId="0" fillId="0" fontId="157" numFmtId="192">
      <alignment vertical="center"/>
    </xf>
    <xf borderId="0" fillId="0" fontId="158" numFmtId="164"/>
    <xf borderId="0" fillId="68" fontId="159" numFmtId="164"/>
    <xf borderId="157" fillId="0" fontId="160" numFmtId="164"/>
    <xf borderId="158" fillId="0" fontId="161" numFmtId="164"/>
    <xf borderId="159" fillId="0" fontId="162" numFmtId="164"/>
    <xf borderId="0" fillId="0" fontId="162" numFmtId="164"/>
    <xf applyAlignment="1" applyProtection="1" borderId="0" fillId="0" fontId="163" numFmtId="164">
      <alignment vertical="top"/>
      <protection hidden="0" locked="0"/>
    </xf>
    <xf borderId="168" fillId="71" fontId="164" numFmtId="164"/>
    <xf borderId="160" fillId="0" fontId="165" numFmtId="164"/>
    <xf borderId="0" fillId="86" fontId="166" numFmtId="164"/>
    <xf applyAlignment="1" borderId="0" fillId="0" fontId="167" numFmtId="164">
      <alignment vertical="center"/>
    </xf>
    <xf applyAlignment="1" borderId="0" fillId="0" fontId="3" numFmtId="164">
      <alignment vertical="center"/>
    </xf>
    <xf applyAlignment="1" borderId="0" fillId="0" fontId="167" numFmtId="164">
      <alignment vertical="center"/>
    </xf>
    <xf borderId="0" fillId="0" fontId="167" numFmtId="164"/>
    <xf applyAlignment="1" borderId="0" fillId="0" fontId="3" numFmtId="164">
      <alignment vertical="center"/>
    </xf>
    <xf applyAlignment="1" borderId="0" fillId="0" fontId="167" numFmtId="164">
      <alignment vertical="center"/>
    </xf>
    <xf applyAlignment="1" borderId="0" fillId="0" fontId="167" numFmtId="164">
      <alignment vertical="center"/>
    </xf>
    <xf applyAlignment="1" borderId="0" fillId="0" fontId="167" numFmtId="164">
      <alignment vertical="center"/>
    </xf>
    <xf applyAlignment="1" borderId="0" fillId="0" fontId="167" numFmtId="164">
      <alignment vertical="center"/>
    </xf>
    <xf applyAlignment="1" borderId="0" fillId="0" fontId="167" numFmtId="164">
      <alignment vertical="center"/>
    </xf>
    <xf applyAlignment="1" borderId="0" fillId="0" fontId="167" numFmtId="164">
      <alignment vertical="center"/>
    </xf>
    <xf applyAlignment="1" borderId="0" fillId="0" fontId="167" numFmtId="164">
      <alignment vertical="center"/>
    </xf>
    <xf applyAlignment="1" borderId="0" fillId="0" fontId="167" numFmtId="164">
      <alignment vertical="center"/>
    </xf>
    <xf borderId="169" fillId="87" fontId="5" numFmtId="164"/>
    <xf borderId="169" fillId="87" fontId="5" numFmtId="164"/>
    <xf borderId="170" fillId="84" fontId="168" numFmtId="164"/>
    <xf borderId="0" fillId="0" fontId="169" numFmtId="164"/>
    <xf borderId="171" fillId="0" fontId="170" numFmtId="164"/>
    <xf borderId="0" fillId="0" fontId="171" numFmtId="164"/>
    <xf borderId="0" fillId="0" fontId="5" numFmtId="164"/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157" numFmtId="164">
      <alignment vertical="center"/>
    </xf>
    <xf applyAlignment="1" borderId="0" fillId="0" fontId="172" numFmtId="164">
      <alignment vertical="center"/>
    </xf>
    <xf applyAlignment="1" borderId="0" fillId="0" fontId="173" numFmtId="164">
      <alignment vertical="center"/>
    </xf>
    <xf applyAlignment="1" borderId="0" fillId="0" fontId="157" numFmtId="164">
      <alignment vertical="center"/>
    </xf>
    <xf applyAlignment="1" borderId="0" fillId="0" fontId="157" numFmtId="164">
      <alignment vertical="center"/>
    </xf>
    <xf applyAlignment="1" borderId="0" fillId="0" fontId="167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applyProtection="1" borderId="0" fillId="0" fontId="174" numFmtId="164">
      <alignment vertical="top"/>
      <protection hidden="0" locked="0"/>
    </xf>
    <xf applyAlignment="1" applyProtection="1" borderId="0" fillId="0" fontId="175" numFmtId="164">
      <alignment vertical="top"/>
      <protection hidden="0" locked="0"/>
    </xf>
    <xf applyAlignment="1" borderId="0" fillId="68" fontId="176" numFmtId="164">
      <alignment vertical="center"/>
    </xf>
    <xf applyAlignment="1" borderId="0" fillId="0" fontId="3" numFmtId="175">
      <alignment vertical="center"/>
    </xf>
    <xf applyAlignment="1" borderId="0" fillId="0" fontId="172" numFmtId="175">
      <alignment vertical="center"/>
    </xf>
    <xf applyAlignment="1" borderId="0" fillId="0" fontId="173" numFmtId="175">
      <alignment vertical="center"/>
    </xf>
    <xf applyAlignment="1" borderId="0" fillId="0" fontId="157" numFmtId="0">
      <alignment vertical="center"/>
    </xf>
    <xf applyAlignment="1" borderId="0" fillId="0" fontId="177" numFmtId="0">
      <alignment vertical="center"/>
    </xf>
    <xf applyAlignment="1" borderId="0" fillId="0" fontId="178" numFmtId="0">
      <alignment vertical="center"/>
    </xf>
    <xf applyAlignment="1" borderId="0" fillId="0" fontId="177" numFmtId="0">
      <alignment vertical="center"/>
    </xf>
    <xf applyAlignment="1" borderId="0" fillId="0" fontId="179" numFmtId="164">
      <alignment vertical="center"/>
    </xf>
    <xf applyAlignment="1" borderId="0" fillId="0" fontId="157" numFmtId="192">
      <alignment vertical="center"/>
    </xf>
    <xf borderId="0" fillId="0" fontId="15" numFmtId="164"/>
    <xf applyAlignment="1" borderId="0" fillId="0" fontId="3" numFmtId="164">
      <alignment vertical="center"/>
    </xf>
    <xf borderId="0" fillId="66" fontId="152" numFmtId="164"/>
    <xf borderId="0" fillId="67" fontId="152" numFmtId="164"/>
    <xf borderId="0" fillId="68" fontId="152" numFmtId="164"/>
    <xf borderId="0" fillId="69" fontId="152" numFmtId="164"/>
    <xf borderId="0" fillId="70" fontId="152" numFmtId="164"/>
    <xf borderId="0" fillId="71" fontId="152" numFmtId="164"/>
    <xf borderId="0" fillId="72" fontId="152" numFmtId="164"/>
    <xf borderId="0" fillId="73" fontId="152" numFmtId="164"/>
    <xf borderId="0" fillId="74" fontId="152" numFmtId="164"/>
    <xf borderId="0" fillId="69" fontId="152" numFmtId="164"/>
    <xf borderId="0" fillId="72" fontId="152" numFmtId="164"/>
    <xf borderId="0" fillId="75" fontId="152" numFmtId="164"/>
    <xf borderId="0" fillId="76" fontId="153" numFmtId="164"/>
    <xf borderId="0" fillId="73" fontId="153" numFmtId="164"/>
    <xf borderId="0" fillId="74" fontId="153" numFmtId="164"/>
    <xf borderId="0" fillId="77" fontId="153" numFmtId="164"/>
    <xf borderId="0" fillId="78" fontId="153" numFmtId="164"/>
    <xf borderId="0" fillId="79" fontId="153" numFmtId="164"/>
    <xf borderId="0" fillId="80" fontId="153" numFmtId="164"/>
    <xf borderId="0" fillId="81" fontId="153" numFmtId="164"/>
    <xf borderId="0" fillId="82" fontId="153" numFmtId="164"/>
    <xf borderId="0" fillId="77" fontId="153" numFmtId="164"/>
    <xf borderId="0" fillId="78" fontId="153" numFmtId="164"/>
    <xf borderId="0" fillId="83" fontId="153" numFmtId="164"/>
    <xf borderId="0" fillId="67" fontId="154" numFmtId="164"/>
    <xf borderId="168" fillId="84" fontId="155" numFmtId="164"/>
    <xf borderId="156" fillId="85" fontId="156" numFmtId="164"/>
    <xf borderId="0" fillId="0" fontId="158" numFmtId="164"/>
    <xf borderId="0" fillId="68" fontId="159" numFmtId="164"/>
    <xf borderId="157" fillId="0" fontId="160" numFmtId="164"/>
    <xf borderId="158" fillId="0" fontId="161" numFmtId="164"/>
    <xf borderId="159" fillId="0" fontId="162" numFmtId="164"/>
    <xf borderId="0" fillId="0" fontId="162" numFmtId="164"/>
    <xf applyAlignment="1" applyProtection="1" borderId="0" fillId="0" fontId="163" numFmtId="164">
      <alignment vertical="top"/>
      <protection hidden="0" locked="0"/>
    </xf>
    <xf borderId="168" fillId="71" fontId="164" numFmtId="164"/>
    <xf borderId="160" fillId="0" fontId="165" numFmtId="164"/>
    <xf borderId="0" fillId="86" fontId="166" numFmtId="164"/>
    <xf applyAlignment="1" borderId="0" fillId="0" fontId="167" numFmtId="164">
      <alignment vertical="center"/>
    </xf>
    <xf applyAlignment="1" borderId="0" fillId="0" fontId="3" numFmtId="164">
      <alignment vertical="center"/>
    </xf>
    <xf applyAlignment="1" borderId="0" fillId="0" fontId="167" numFmtId="164">
      <alignment vertical="center"/>
    </xf>
    <xf borderId="0" fillId="0" fontId="167" numFmtId="164"/>
    <xf applyAlignment="1" borderId="0" fillId="0" fontId="3" numFmtId="164">
      <alignment vertical="center"/>
    </xf>
    <xf applyAlignment="1" borderId="0" fillId="0" fontId="167" numFmtId="164">
      <alignment vertical="center"/>
    </xf>
    <xf applyAlignment="1" borderId="0" fillId="0" fontId="167" numFmtId="164">
      <alignment vertical="center"/>
    </xf>
    <xf applyAlignment="1" borderId="0" fillId="0" fontId="167" numFmtId="164">
      <alignment vertical="center"/>
    </xf>
    <xf applyAlignment="1" borderId="0" fillId="0" fontId="167" numFmtId="164">
      <alignment vertical="center"/>
    </xf>
    <xf applyAlignment="1" borderId="0" fillId="0" fontId="167" numFmtId="164">
      <alignment vertical="center"/>
    </xf>
    <xf applyAlignment="1" borderId="0" fillId="0" fontId="167" numFmtId="164">
      <alignment vertical="center"/>
    </xf>
    <xf applyAlignment="1" borderId="0" fillId="0" fontId="167" numFmtId="164">
      <alignment vertical="center"/>
    </xf>
    <xf applyAlignment="1" borderId="0" fillId="0" fontId="167" numFmtId="164">
      <alignment vertical="center"/>
    </xf>
    <xf borderId="169" fillId="87" fontId="5" numFmtId="164"/>
    <xf borderId="169" fillId="87" fontId="5" numFmtId="164"/>
    <xf borderId="170" fillId="84" fontId="168" numFmtId="164"/>
    <xf borderId="0" fillId="0" fontId="169" numFmtId="164"/>
    <xf borderId="171" fillId="0" fontId="170" numFmtId="164"/>
    <xf borderId="0" fillId="0" fontId="171" numFmtId="164"/>
    <xf borderId="0" fillId="0" fontId="5" numFmtId="164"/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157" numFmtId="164">
      <alignment vertical="center"/>
    </xf>
    <xf applyAlignment="1" borderId="0" fillId="0" fontId="172" numFmtId="164">
      <alignment vertical="center"/>
    </xf>
    <xf applyAlignment="1" borderId="0" fillId="0" fontId="173" numFmtId="164">
      <alignment vertical="center"/>
    </xf>
    <xf applyAlignment="1" borderId="0" fillId="0" fontId="157" numFmtId="164">
      <alignment vertical="center"/>
    </xf>
    <xf applyAlignment="1" borderId="0" fillId="0" fontId="157" numFmtId="164">
      <alignment vertical="center"/>
    </xf>
    <xf applyAlignment="1" borderId="0" fillId="0" fontId="167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applyProtection="1" borderId="0" fillId="0" fontId="174" numFmtId="164">
      <alignment vertical="top"/>
      <protection hidden="0" locked="0"/>
    </xf>
    <xf applyAlignment="1" applyProtection="1" borderId="0" fillId="0" fontId="175" numFmtId="164">
      <alignment vertical="top"/>
      <protection hidden="0" locked="0"/>
    </xf>
    <xf applyAlignment="1" borderId="0" fillId="68" fontId="176" numFmtId="164">
      <alignment vertical="center"/>
    </xf>
    <xf applyAlignment="1" borderId="0" fillId="0" fontId="179" numFmtId="164">
      <alignment vertical="center"/>
    </xf>
    <xf borderId="168" fillId="84" fontId="155" numFmtId="164"/>
    <xf borderId="168" fillId="84" fontId="155" numFmtId="164"/>
    <xf borderId="168" fillId="84" fontId="155" numFmtId="164"/>
    <xf borderId="168" fillId="84" fontId="155" numFmtId="164"/>
    <xf borderId="168" fillId="84" fontId="155" numFmtId="164"/>
    <xf borderId="168" fillId="84" fontId="155" numFmtId="164"/>
    <xf borderId="168" fillId="84" fontId="155" numFmtId="164"/>
    <xf borderId="168" fillId="84" fontId="155" numFmtId="164"/>
    <xf applyAlignment="1" borderId="0" fillId="0" fontId="3" numFmtId="175">
      <alignment vertical="center"/>
    </xf>
    <xf applyAlignment="1" borderId="0" fillId="0" fontId="3" numFmtId="175">
      <alignment vertical="center"/>
    </xf>
    <xf borderId="168" fillId="71" fontId="164" numFmtId="164"/>
    <xf borderId="168" fillId="71" fontId="164" numFmtId="164"/>
    <xf borderId="168" fillId="71" fontId="164" numFmtId="164"/>
    <xf borderId="168" fillId="71" fontId="164" numFmtId="164"/>
    <xf borderId="168" fillId="71" fontId="164" numFmtId="164"/>
    <xf borderId="168" fillId="71" fontId="164" numFmtId="164"/>
    <xf borderId="168" fillId="71" fontId="164" numFmtId="164"/>
    <xf borderId="168" fillId="71" fontId="164" numFmtId="164"/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borderId="169" fillId="87" fontId="5" numFmtId="164"/>
    <xf borderId="169" fillId="87" fontId="5" numFmtId="164"/>
    <xf borderId="169" fillId="87" fontId="5" numFmtId="164"/>
    <xf borderId="169" fillId="87" fontId="5" numFmtId="164"/>
    <xf borderId="169" fillId="87" fontId="5" numFmtId="164"/>
    <xf borderId="169" fillId="87" fontId="5" numFmtId="164"/>
    <xf borderId="169" fillId="87" fontId="5" numFmtId="164"/>
    <xf borderId="169" fillId="87" fontId="5" numFmtId="164"/>
    <xf borderId="169" fillId="87" fontId="5" numFmtId="164"/>
    <xf borderId="169" fillId="87" fontId="5" numFmtId="164"/>
    <xf borderId="169" fillId="87" fontId="5" numFmtId="164"/>
    <xf borderId="169" fillId="87" fontId="5" numFmtId="164"/>
    <xf borderId="169" fillId="87" fontId="5" numFmtId="164"/>
    <xf borderId="169" fillId="87" fontId="5" numFmtId="164"/>
    <xf borderId="169" fillId="87" fontId="5" numFmtId="164"/>
    <xf borderId="169" fillId="87" fontId="5" numFmtId="164"/>
    <xf borderId="170" fillId="84" fontId="168" numFmtId="164"/>
    <xf borderId="170" fillId="84" fontId="168" numFmtId="164"/>
    <xf borderId="170" fillId="84" fontId="168" numFmtId="164"/>
    <xf borderId="170" fillId="84" fontId="168" numFmtId="164"/>
    <xf borderId="170" fillId="84" fontId="168" numFmtId="164"/>
    <xf borderId="170" fillId="84" fontId="168" numFmtId="164"/>
    <xf borderId="170" fillId="84" fontId="168" numFmtId="164"/>
    <xf borderId="170" fillId="84" fontId="168" numFmtId="164"/>
    <xf applyAlignment="1" borderId="0" fillId="0" fontId="3" numFmtId="0">
      <alignment vertical="center"/>
    </xf>
    <xf borderId="171" fillId="0" fontId="170" numFmtId="164"/>
    <xf borderId="171" fillId="0" fontId="170" numFmtId="164"/>
    <xf borderId="171" fillId="0" fontId="170" numFmtId="164"/>
    <xf borderId="171" fillId="0" fontId="170" numFmtId="164"/>
    <xf borderId="171" fillId="0" fontId="170" numFmtId="164"/>
    <xf borderId="171" fillId="0" fontId="170" numFmtId="164"/>
    <xf borderId="171" fillId="0" fontId="170" numFmtId="164"/>
    <xf borderId="171" fillId="0" fontId="170" numFmtId="164"/>
    <xf applyAlignment="1" borderId="0" fillId="0" fontId="1" numFmtId="0">
      <alignment vertical="center"/>
    </xf>
    <xf applyAlignment="1" borderId="0" fillId="0" fontId="4" numFmtId="0">
      <alignment vertical="center"/>
    </xf>
    <xf applyAlignment="1" borderId="0" fillId="0" fontId="4" numFmtId="0">
      <alignment vertical="center"/>
    </xf>
    <xf borderId="0" fillId="0" fontId="15" numFmtId="164"/>
    <xf borderId="0" fillId="0" fontId="4" numFmtId="164"/>
    <xf borderId="0" fillId="0" fontId="4" numFmtId="164"/>
    <xf borderId="0" fillId="0" fontId="15" numFmtId="164"/>
    <xf borderId="0" fillId="0" fontId="15" numFmtId="164"/>
    <xf borderId="0" fillId="0" fontId="15" numFmtId="164"/>
    <xf borderId="0" fillId="0" fontId="15" numFmtId="164"/>
    <xf borderId="0" fillId="0" fontId="4" numFmtId="164"/>
    <xf borderId="0" fillId="0" fontId="4" numFmtId="164"/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3" numFmtId="164">
      <alignment vertical="center"/>
    </xf>
    <xf applyAlignment="1" borderId="0" fillId="0" fontId="15" numFmtId="175">
      <alignment vertical="center"/>
    </xf>
    <xf applyAlignment="1" borderId="0" fillId="0" fontId="15" numFmtId="175">
      <alignment vertical="center"/>
    </xf>
    <xf applyAlignment="1" borderId="0" fillId="0" fontId="15" numFmtId="175">
      <alignment vertical="center"/>
    </xf>
    <xf applyAlignment="1" borderId="0" fillId="0" fontId="4" numFmtId="175">
      <alignment vertical="center"/>
    </xf>
    <xf applyAlignment="1" borderId="0" fillId="0" fontId="4" numFmtId="175">
      <alignment vertical="center"/>
    </xf>
    <xf applyAlignment="1" borderId="0" fillId="0" fontId="4" numFmtId="175">
      <alignment vertical="center"/>
    </xf>
    <xf applyAlignment="1" borderId="0" fillId="0" fontId="15" numFmtId="175">
      <alignment vertical="center"/>
    </xf>
    <xf applyAlignment="1" borderId="0" fillId="0" fontId="15" numFmtId="175">
      <alignment vertical="center"/>
    </xf>
    <xf applyAlignment="1" borderId="0" fillId="0" fontId="4" numFmtId="175">
      <alignment vertical="center"/>
    </xf>
    <xf borderId="0" fillId="0" fontId="4" numFmtId="43"/>
    <xf applyAlignment="1" borderId="0" fillId="0" fontId="4" numFmtId="175">
      <alignment vertical="center"/>
    </xf>
    <xf borderId="0" fillId="0" fontId="4" numFmtId="43"/>
    <xf borderId="0" fillId="0" fontId="4" numFmtId="43"/>
    <xf borderId="0" fillId="0" fontId="4" numFmtId="43"/>
    <xf applyAlignment="1" borderId="0" fillId="0" fontId="4" numFmtId="175">
      <alignment vertical="center"/>
    </xf>
    <xf applyAlignment="1" borderId="0" fillId="0" fontId="4" numFmtId="175">
      <alignment vertical="center"/>
    </xf>
    <xf borderId="0" fillId="0" fontId="5" numFmtId="0"/>
    <xf borderId="0" fillId="0" fontId="202" numFmtId="0"/>
    <xf borderId="0" fillId="0" fontId="202" numFmtId="0"/>
    <xf borderId="0" fillId="0" fontId="202" numFmtId="0"/>
    <xf borderId="0" fillId="0" fontId="202" numFmtId="0"/>
    <xf borderId="0" fillId="0" fontId="202" numFmtId="0"/>
    <xf borderId="0" fillId="0" fontId="202" numFmtId="0"/>
    <xf borderId="0" fillId="0" fontId="202" numFmtId="0"/>
    <xf borderId="0" fillId="0" fontId="202" numFmtId="0"/>
    <xf borderId="0" fillId="0" fontId="202" numFmtId="0"/>
    <xf borderId="0" fillId="0" fontId="202" numFmtId="0"/>
    <xf borderId="0" fillId="0" fontId="202" numFmtId="0"/>
    <xf borderId="0" fillId="0" fontId="202" numFmtId="0"/>
    <xf borderId="0" fillId="0" fontId="202" numFmtId="0"/>
    <xf borderId="0" fillId="0" fontId="202" numFmtId="0"/>
    <xf borderId="0" fillId="0" fontId="202" numFmtId="0"/>
    <xf borderId="0" fillId="0" fontId="202" numFmtId="0"/>
    <xf borderId="0" fillId="0" fontId="202" numFmtId="0"/>
    <xf borderId="0" fillId="0" fontId="202" numFmtId="0"/>
    <xf borderId="0" fillId="0" fontId="202" numFmtId="0"/>
    <xf borderId="0" fillId="0" fontId="202" numFmtId="0"/>
    <xf borderId="0" fillId="0" fontId="202" numFmtId="0"/>
    <xf borderId="0" fillId="0" fontId="202" numFmtId="193"/>
    <xf borderId="0" fillId="0" fontId="202" numFmtId="0"/>
    <xf borderId="0" fillId="0" fontId="202" numFmtId="0"/>
    <xf borderId="0" fillId="0" fontId="202" numFmtId="0"/>
    <xf borderId="0" fillId="0" fontId="202" numFmtId="0"/>
    <xf borderId="0" fillId="0" fontId="202" numFmtId="0"/>
    <xf borderId="0" fillId="0" fontId="202" numFmtId="0"/>
    <xf borderId="0" fillId="0" fontId="202" numFmtId="0"/>
    <xf borderId="0" fillId="0" fontId="202" numFmtId="0"/>
    <xf borderId="0" fillId="0" fontId="202" numFmtId="0"/>
    <xf borderId="0" fillId="0" fontId="202" numFmtId="0"/>
    <xf borderId="0" fillId="0" fontId="202" numFmtId="0"/>
    <xf borderId="0" fillId="0" fontId="202" numFmtId="0"/>
    <xf borderId="0" fillId="0" fontId="202" numFmtId="0"/>
    <xf borderId="0" fillId="0" fontId="202" numFmtId="0"/>
    <xf borderId="0" fillId="0" fontId="202" numFmtId="0"/>
    <xf borderId="0" fillId="0" fontId="202" numFmtId="0"/>
    <xf borderId="0" fillId="0" fontId="5" numFmtId="193"/>
    <xf borderId="0" fillId="0" fontId="5" numFmtId="0"/>
    <xf borderId="0" fillId="0" fontId="202" numFmtId="0"/>
    <xf borderId="0" fillId="0" fontId="202" numFmtId="0"/>
    <xf borderId="0" fillId="0" fontId="202" numFmtId="0"/>
    <xf borderId="0" fillId="0" fontId="202" numFmtId="0"/>
    <xf borderId="0" fillId="0" fontId="202" numFmtId="0"/>
    <xf borderId="0" fillId="0" fontId="202" numFmtId="0"/>
    <xf borderId="0" fillId="0" fontId="202" numFmtId="0"/>
    <xf borderId="0" fillId="0" fontId="202" numFmtId="0"/>
    <xf borderId="0" fillId="0" fontId="202" numFmtId="0"/>
    <xf borderId="0" fillId="0" fontId="202" numFmtId="0"/>
    <xf borderId="0" fillId="0" fontId="5" numFmtId="193"/>
    <xf borderId="0" fillId="0" fontId="202" numFmtId="0"/>
    <xf borderId="0" fillId="0" fontId="202" numFmtId="0"/>
    <xf borderId="0" fillId="0" fontId="202" numFmtId="0"/>
    <xf borderId="0" fillId="0" fontId="202" numFmtId="0"/>
    <xf borderId="0" fillId="0" fontId="202" numFmtId="193"/>
    <xf borderId="0" fillId="0" fontId="202" numFmtId="0"/>
    <xf borderId="0" fillId="0" fontId="202" numFmtId="0"/>
    <xf borderId="0" fillId="0" fontId="202" numFmtId="0"/>
  </cellStyleXfs>
  <cellXfs count="3045">
    <xf borderId="0" fillId="0" fontId="0" numFmtId="164" pivotButton="0" quotePrefix="0" xfId="0"/>
    <xf borderId="0" fillId="0" fontId="12" numFmtId="165" pivotButton="0" quotePrefix="0" xfId="31"/>
    <xf borderId="0" fillId="0" fontId="12" numFmtId="166" pivotButton="0" quotePrefix="0" xfId="31"/>
    <xf borderId="0" fillId="0" fontId="8" numFmtId="167" pivotButton="0" quotePrefix="0" xfId="15"/>
    <xf borderId="0" fillId="3" fontId="13" numFmtId="164" pivotButton="0" quotePrefix="0" xfId="24"/>
    <xf borderId="1" fillId="0" fontId="8" numFmtId="164" pivotButton="0" quotePrefix="0" xfId="24"/>
    <xf borderId="0" fillId="0" fontId="10" numFmtId="164" pivotButton="0" quotePrefix="0" xfId="24"/>
    <xf borderId="0" fillId="0" fontId="22" numFmtId="164" pivotButton="0" quotePrefix="0" xfId="0"/>
    <xf applyAlignment="1" borderId="27" fillId="0" fontId="8" numFmtId="38" pivotButton="0" quotePrefix="0" xfId="39">
      <alignment vertical="center"/>
    </xf>
    <xf applyAlignment="1" borderId="28" fillId="0" fontId="8" numFmtId="38" pivotButton="0" quotePrefix="0" xfId="39">
      <alignment vertical="center"/>
    </xf>
    <xf applyAlignment="1" borderId="28" fillId="0" fontId="8" numFmtId="38" pivotButton="0" quotePrefix="0" xfId="15">
      <alignment vertical="center"/>
    </xf>
    <xf applyAlignment="1" borderId="27" fillId="0" fontId="8" numFmtId="38" pivotButton="0" quotePrefix="0" xfId="15">
      <alignment vertical="center"/>
    </xf>
    <xf applyAlignment="1" borderId="0" fillId="0" fontId="27" numFmtId="164" pivotButton="0" quotePrefix="0" xfId="18">
      <alignment vertical="center"/>
    </xf>
    <xf borderId="0" fillId="0" fontId="27" numFmtId="164" pivotButton="0" quotePrefix="0" xfId="0"/>
    <xf borderId="0" fillId="0" fontId="27" numFmtId="164" pivotButton="0" quotePrefix="0" xfId="0"/>
    <xf borderId="0" fillId="0" fontId="28" numFmtId="164" pivotButton="0" quotePrefix="0" xfId="0"/>
    <xf borderId="0" fillId="0" fontId="28" numFmtId="164" pivotButton="0" quotePrefix="0" xfId="0"/>
    <xf applyAlignment="1" borderId="0" fillId="0" fontId="27" numFmtId="164" pivotButton="0" quotePrefix="0" xfId="0">
      <alignment wrapText="1"/>
    </xf>
    <xf applyAlignment="1" borderId="0" fillId="0" fontId="27" numFmtId="164" pivotButton="0" quotePrefix="0" xfId="0">
      <alignment wrapText="1"/>
    </xf>
    <xf borderId="0" fillId="0" fontId="30" numFmtId="164" pivotButton="0" quotePrefix="0" xfId="0"/>
    <xf applyAlignment="1" borderId="29" fillId="0" fontId="30" numFmtId="164" pivotButton="0" quotePrefix="0" xfId="18">
      <alignment horizontal="left"/>
    </xf>
    <xf applyAlignment="1" borderId="29" fillId="0" fontId="30" numFmtId="3" pivotButton="0" quotePrefix="0" xfId="18">
      <alignment horizontal="right"/>
    </xf>
    <xf applyAlignment="1" borderId="29" fillId="0" fontId="31" numFmtId="3" pivotButton="0" quotePrefix="0" xfId="18">
      <alignment horizontal="right"/>
    </xf>
    <xf borderId="30" fillId="0" fontId="30" numFmtId="164" pivotButton="0" quotePrefix="0" xfId="0"/>
    <xf applyAlignment="1" borderId="0" fillId="0" fontId="28" numFmtId="164" pivotButton="0" quotePrefix="0" xfId="0">
      <alignment horizontal="center"/>
    </xf>
    <xf applyAlignment="1" borderId="0" fillId="0" fontId="28" numFmtId="164" pivotButton="0" quotePrefix="0" xfId="18">
      <alignment horizontal="center" vertical="center"/>
    </xf>
    <xf applyAlignment="1" borderId="0" fillId="0" fontId="28" numFmtId="164" pivotButton="0" quotePrefix="0" xfId="0">
      <alignment horizontal="center"/>
    </xf>
    <xf borderId="0" fillId="0" fontId="27" numFmtId="164" pivotButton="0" quotePrefix="0" xfId="0"/>
    <xf borderId="0" fillId="10" fontId="27" numFmtId="164" pivotButton="0" quotePrefix="0" xfId="0"/>
    <xf borderId="0" fillId="0" fontId="27" numFmtId="168" pivotButton="0" quotePrefix="0" xfId="0"/>
    <xf borderId="0" fillId="0" fontId="27" numFmtId="165" pivotButton="0" quotePrefix="0" xfId="0"/>
    <xf borderId="30" fillId="0" fontId="27" numFmtId="164" pivotButton="0" quotePrefix="0" xfId="0"/>
    <xf applyAlignment="1" borderId="29" fillId="0" fontId="27" numFmtId="164" pivotButton="0" quotePrefix="0" xfId="18">
      <alignment vertical="center"/>
    </xf>
    <xf borderId="30" fillId="0" fontId="27" numFmtId="164" pivotButton="0" quotePrefix="0" xfId="0"/>
    <xf borderId="0" fillId="0" fontId="27" numFmtId="164" pivotButton="0" quotePrefix="0" xfId="0"/>
    <xf applyAlignment="1" borderId="33" fillId="0" fontId="27" numFmtId="164" pivotButton="0" quotePrefix="0" xfId="18">
      <alignment vertical="center"/>
    </xf>
    <xf borderId="18" fillId="0" fontId="27" numFmtId="164" pivotButton="0" quotePrefix="0" xfId="0"/>
    <xf applyAlignment="1" borderId="0" fillId="0" fontId="27" numFmtId="164" pivotButton="0" quotePrefix="0" xfId="18">
      <alignment vertical="center"/>
    </xf>
    <xf applyAlignment="1" borderId="0" fillId="0" fontId="32" numFmtId="164" pivotButton="0" quotePrefix="0" xfId="18">
      <alignment horizontal="left"/>
    </xf>
    <xf applyAlignment="1" borderId="0" fillId="0" fontId="27" numFmtId="164" pivotButton="0" quotePrefix="0" xfId="0">
      <alignment wrapText="1"/>
    </xf>
    <xf applyAlignment="1" borderId="0" fillId="0" fontId="27" numFmtId="164" pivotButton="0" quotePrefix="0" xfId="0">
      <alignment horizontal="center"/>
    </xf>
    <xf applyAlignment="1" borderId="28" fillId="0" fontId="11" numFmtId="38" pivotButton="0" quotePrefix="0" xfId="39">
      <alignment vertical="center"/>
    </xf>
    <xf applyAlignment="1" borderId="0" fillId="0" fontId="38" numFmtId="164" pivotButton="0" quotePrefix="0" xfId="0">
      <alignment horizontal="center"/>
    </xf>
    <xf borderId="0" fillId="0" fontId="39" numFmtId="9" pivotButton="0" quotePrefix="0" xfId="0"/>
    <xf borderId="0" fillId="0" fontId="2" numFmtId="9" pivotButton="0" quotePrefix="0" xfId="50"/>
    <xf borderId="0" fillId="0" fontId="22" numFmtId="9" pivotButton="0" quotePrefix="0" xfId="50"/>
    <xf applyAlignment="1" borderId="19" fillId="0" fontId="8" numFmtId="38" pivotButton="0" quotePrefix="0" xfId="39">
      <alignment vertical="center"/>
    </xf>
    <xf applyAlignment="1" borderId="19" fillId="0" fontId="27" numFmtId="38" pivotButton="0" quotePrefix="0" xfId="39">
      <alignment vertical="center"/>
    </xf>
    <xf borderId="21" fillId="12" fontId="8" numFmtId="164" pivotButton="0" quotePrefix="0" xfId="24"/>
    <xf applyAlignment="1" borderId="19" fillId="12" fontId="8" numFmtId="38" pivotButton="0" quotePrefix="0" xfId="39">
      <alignment vertical="center"/>
    </xf>
    <xf applyAlignment="1" borderId="0" fillId="0" fontId="27" numFmtId="164" pivotButton="0" quotePrefix="0" xfId="0">
      <alignment horizontal="center"/>
    </xf>
    <xf applyAlignment="1" borderId="24" fillId="12" fontId="8" numFmtId="38" pivotButton="0" quotePrefix="0" xfId="39">
      <alignment vertical="center"/>
    </xf>
    <xf applyAlignment="1" borderId="28" fillId="12" fontId="8" numFmtId="38" pivotButton="0" quotePrefix="0" xfId="39">
      <alignment vertical="center"/>
    </xf>
    <xf applyAlignment="1" borderId="0" fillId="0" fontId="11" numFmtId="169" pivotButton="0" quotePrefix="0" xfId="24">
      <alignment horizontal="left"/>
    </xf>
    <xf applyAlignment="1" borderId="27" fillId="0" fontId="11" numFmtId="38" pivotButton="0" quotePrefix="0" xfId="39">
      <alignment vertical="center"/>
    </xf>
    <xf applyAlignment="1" borderId="0" fillId="0" fontId="8" numFmtId="169" pivotButton="0" quotePrefix="0" xfId="24">
      <alignment horizontal="left"/>
    </xf>
    <xf borderId="0" fillId="0" fontId="22" numFmtId="164" pivotButton="0" quotePrefix="0" xfId="0"/>
    <xf applyAlignment="1" borderId="7" fillId="0" fontId="41" numFmtId="169" pivotButton="0" quotePrefix="0" xfId="24">
      <alignment horizontal="center"/>
    </xf>
    <xf applyAlignment="1" borderId="3" fillId="0" fontId="11" numFmtId="38" pivotButton="0" quotePrefix="0" xfId="39">
      <alignment vertical="center"/>
    </xf>
    <xf borderId="0" fillId="0" fontId="48" numFmtId="164" pivotButton="0" quotePrefix="0" xfId="0"/>
    <xf applyAlignment="1" borderId="46" fillId="0" fontId="47" numFmtId="169" pivotButton="0" quotePrefix="0" xfId="24">
      <alignment horizontal="center"/>
    </xf>
    <xf applyAlignment="1" borderId="47" fillId="0" fontId="47" numFmtId="38" pivotButton="0" quotePrefix="0" xfId="39">
      <alignment vertical="center"/>
    </xf>
    <xf applyAlignment="1" borderId="0" fillId="0" fontId="11" numFmtId="38" pivotButton="0" quotePrefix="0" xfId="39">
      <alignment vertical="center"/>
    </xf>
    <xf applyAlignment="1" borderId="6" fillId="13" fontId="10" numFmtId="164" pivotButton="0" quotePrefix="1" xfId="24">
      <alignment wrapText="1"/>
    </xf>
    <xf borderId="20" fillId="13" fontId="8" numFmtId="9" pivotButton="0" quotePrefix="0" xfId="50"/>
    <xf borderId="6" fillId="13" fontId="23" numFmtId="164" pivotButton="0" quotePrefix="0" xfId="24"/>
    <xf borderId="6" fillId="13" fontId="8" numFmtId="9" pivotButton="0" quotePrefix="0" xfId="50"/>
    <xf borderId="6" fillId="13" fontId="5" numFmtId="164" pivotButton="0" quotePrefix="1" xfId="24"/>
    <xf applyAlignment="1" borderId="0" fillId="13" fontId="8" numFmtId="170" pivotButton="0" quotePrefix="0" xfId="39">
      <alignment vertical="center"/>
    </xf>
    <xf borderId="1" fillId="13" fontId="8" numFmtId="9" pivotButton="0" quotePrefix="0" xfId="50"/>
    <xf borderId="5" fillId="13" fontId="8" numFmtId="9" pivotButton="0" quotePrefix="0" xfId="50"/>
    <xf borderId="6" fillId="13" fontId="40" numFmtId="9" pivotButton="0" quotePrefix="0" xfId="50"/>
    <xf borderId="4" fillId="13" fontId="8" numFmtId="164" pivotButton="0" quotePrefix="0" xfId="24"/>
    <xf applyAlignment="1" borderId="25" fillId="13" fontId="8" numFmtId="38" pivotButton="0" quotePrefix="0" xfId="39">
      <alignment vertical="center"/>
    </xf>
    <xf applyAlignment="1" borderId="26" fillId="13" fontId="8" numFmtId="38" pivotButton="0" quotePrefix="0" xfId="39">
      <alignment vertical="center"/>
    </xf>
    <xf applyAlignment="1" borderId="37" fillId="13" fontId="8" numFmtId="38" pivotButton="0" quotePrefix="0" xfId="39">
      <alignment vertical="center"/>
    </xf>
    <xf applyAlignment="1" borderId="36" fillId="13" fontId="8" numFmtId="38" pivotButton="0" quotePrefix="0" xfId="39">
      <alignment vertical="center"/>
    </xf>
    <xf borderId="6" fillId="13" fontId="11" numFmtId="169" pivotButton="0" quotePrefix="0" xfId="24"/>
    <xf borderId="0" fillId="3" fontId="0" numFmtId="164" pivotButton="0" quotePrefix="0" xfId="0"/>
    <xf applyAlignment="1" borderId="11" fillId="15" fontId="26" numFmtId="164" pivotButton="0" quotePrefix="0" xfId="24">
      <alignment horizontal="center"/>
    </xf>
    <xf applyAlignment="1" borderId="16" fillId="15" fontId="46" numFmtId="9" pivotButton="0" quotePrefix="0" xfId="50">
      <alignment horizontal="center"/>
    </xf>
    <xf applyAlignment="1" borderId="16" fillId="15" fontId="46" numFmtId="164" pivotButton="0" quotePrefix="0" xfId="24">
      <alignment horizontal="center"/>
    </xf>
    <xf applyAlignment="1" borderId="11" fillId="15" fontId="24" numFmtId="164" pivotButton="0" quotePrefix="0" xfId="39">
      <alignment horizontal="center" vertical="center"/>
    </xf>
    <xf borderId="0" fillId="15" fontId="25" numFmtId="164" pivotButton="0" quotePrefix="0" xfId="0"/>
    <xf applyAlignment="1" borderId="40" fillId="16" fontId="8" numFmtId="164" pivotButton="0" quotePrefix="0" xfId="24">
      <alignment wrapText="1"/>
    </xf>
    <xf applyAlignment="1" borderId="43" fillId="16" fontId="8" numFmtId="38" pivotButton="0" quotePrefix="0" xfId="39">
      <alignment vertical="center"/>
    </xf>
    <xf borderId="40" fillId="16" fontId="8" numFmtId="164" pivotButton="0" quotePrefix="0" xfId="24"/>
    <xf applyAlignment="1" borderId="41" fillId="16" fontId="8" numFmtId="38" pivotButton="0" quotePrefix="0" xfId="39">
      <alignment vertical="center"/>
    </xf>
    <xf applyAlignment="1" borderId="42" fillId="16" fontId="8" numFmtId="38" pivotButton="0" quotePrefix="0" xfId="39">
      <alignment vertical="center"/>
    </xf>
    <xf applyAlignment="1" borderId="0" fillId="17" fontId="17" numFmtId="38" pivotButton="0" quotePrefix="0" xfId="39">
      <alignment vertical="center"/>
    </xf>
    <xf applyAlignment="1" borderId="40" fillId="2" fontId="8" numFmtId="164" pivotButton="0" quotePrefix="0" xfId="24">
      <alignment wrapText="1"/>
    </xf>
    <xf applyAlignment="1" borderId="41" fillId="2" fontId="8" numFmtId="38" pivotButton="0" quotePrefix="0" xfId="15">
      <alignment vertical="center"/>
    </xf>
    <xf applyAlignment="1" borderId="42" fillId="2" fontId="8" numFmtId="38" pivotButton="0" quotePrefix="0" xfId="15">
      <alignment vertical="center"/>
    </xf>
    <xf applyAlignment="1" borderId="43" fillId="2" fontId="8" numFmtId="38" pivotButton="0" quotePrefix="0" xfId="39">
      <alignment vertical="center"/>
    </xf>
    <xf borderId="2" fillId="14" fontId="8" numFmtId="164" pivotButton="0" quotePrefix="0" xfId="24"/>
    <xf applyAlignment="1" borderId="36" fillId="14" fontId="8" numFmtId="38" pivotButton="0" quotePrefix="0" xfId="39">
      <alignment vertical="center"/>
    </xf>
    <xf applyAlignment="1" borderId="25" fillId="14" fontId="27" numFmtId="38" pivotButton="0" quotePrefix="0" xfId="39">
      <alignment vertical="center"/>
    </xf>
    <xf applyAlignment="1" borderId="26" fillId="14" fontId="8" numFmtId="38" pivotButton="0" quotePrefix="0" xfId="39">
      <alignment vertical="center"/>
    </xf>
    <xf borderId="0" fillId="0" fontId="2" numFmtId="165" pivotButton="0" quotePrefix="0" xfId="43"/>
    <xf applyAlignment="1" borderId="0" fillId="0" fontId="41" numFmtId="169" pivotButton="0" quotePrefix="0" xfId="24">
      <alignment horizontal="center"/>
    </xf>
    <xf borderId="0" fillId="19" fontId="22" numFmtId="164" pivotButton="0" quotePrefix="0" xfId="0"/>
    <xf applyAlignment="1" borderId="0" fillId="11" fontId="52" numFmtId="168" pivotButton="0" quotePrefix="0" xfId="29">
      <alignment horizontal="center" vertical="center"/>
    </xf>
    <xf applyAlignment="1" borderId="0" fillId="0" fontId="52" numFmtId="168" pivotButton="0" quotePrefix="0" xfId="29">
      <alignment horizontal="center" vertical="center"/>
    </xf>
    <xf applyAlignment="1" borderId="0" fillId="7" fontId="52" numFmtId="168" pivotButton="0" quotePrefix="0" xfId="29">
      <alignment horizontal="center" vertical="center"/>
    </xf>
    <xf applyAlignment="1" borderId="0" fillId="0" fontId="53" numFmtId="164" pivotButton="0" quotePrefix="0" xfId="29">
      <alignment vertical="center"/>
    </xf>
    <xf applyAlignment="1" borderId="0" fillId="11" fontId="53" numFmtId="171" pivotButton="0" quotePrefix="0" xfId="29">
      <alignment horizontal="center" vertical="center" wrapText="1"/>
    </xf>
    <xf applyAlignment="1" borderId="0" fillId="0" fontId="53" numFmtId="171" pivotButton="0" quotePrefix="0" xfId="29">
      <alignment horizontal="center" vertical="center" wrapText="1"/>
    </xf>
    <xf applyAlignment="1" borderId="0" fillId="7" fontId="53" numFmtId="171" pivotButton="0" quotePrefix="0" xfId="29">
      <alignment horizontal="center" vertical="center" wrapText="1"/>
    </xf>
    <xf borderId="0" fillId="11" fontId="53" numFmtId="172" pivotButton="0" quotePrefix="0" xfId="61"/>
    <xf borderId="0" fillId="0" fontId="53" numFmtId="172" pivotButton="0" quotePrefix="0" xfId="61"/>
    <xf borderId="0" fillId="7" fontId="53" numFmtId="172" pivotButton="0" quotePrefix="0" xfId="61"/>
    <xf applyAlignment="1" borderId="0" fillId="11" fontId="52" numFmtId="165" pivotButton="0" quotePrefix="0" xfId="14">
      <alignment horizontal="center" vertical="center"/>
    </xf>
    <xf applyAlignment="1" borderId="0" fillId="0" fontId="52" numFmtId="165" pivotButton="0" quotePrefix="0" xfId="14">
      <alignment horizontal="center" vertical="center"/>
    </xf>
    <xf applyAlignment="1" borderId="0" fillId="0" fontId="53" numFmtId="168" pivotButton="0" quotePrefix="0" xfId="29">
      <alignment vertical="center"/>
    </xf>
    <xf applyAlignment="1" borderId="0" fillId="7" fontId="52" numFmtId="165" pivotButton="0" quotePrefix="0" xfId="14">
      <alignment horizontal="center" vertical="center"/>
    </xf>
    <xf applyAlignment="1" borderId="0" fillId="0" fontId="53" numFmtId="165" pivotButton="0" quotePrefix="0" xfId="14">
      <alignment horizontal="center" vertical="center"/>
    </xf>
    <xf applyAlignment="1" borderId="0" fillId="0" fontId="53" numFmtId="164" pivotButton="0" quotePrefix="0" xfId="29">
      <alignment vertical="center"/>
    </xf>
    <xf applyAlignment="1" borderId="0" fillId="0" fontId="53" numFmtId="165" pivotButton="0" quotePrefix="0" xfId="14">
      <alignment horizontal="center" vertical="center"/>
    </xf>
    <xf applyAlignment="1" borderId="0" fillId="7" fontId="53" numFmtId="164" pivotButton="0" quotePrefix="0" xfId="29">
      <alignment vertical="center"/>
    </xf>
    <xf applyAlignment="1" borderId="44" fillId="0" fontId="53" numFmtId="165" pivotButton="0" quotePrefix="0" xfId="14">
      <alignment horizontal="center" vertical="center"/>
    </xf>
    <xf applyAlignment="1" borderId="44" fillId="0" fontId="52" numFmtId="165" pivotButton="0" quotePrefix="0" xfId="14">
      <alignment horizontal="center" vertical="center"/>
    </xf>
    <xf borderId="4" fillId="13" fontId="42" numFmtId="164" pivotButton="0" quotePrefix="0" xfId="24"/>
    <xf applyAlignment="1" borderId="35" fillId="16" fontId="8" numFmtId="38" pivotButton="0" quotePrefix="0" xfId="39">
      <alignment vertical="center"/>
    </xf>
    <xf borderId="49" fillId="13" fontId="8" numFmtId="9" pivotButton="0" quotePrefix="0" xfId="50"/>
    <xf borderId="0" fillId="0" fontId="11" numFmtId="169" pivotButton="0" quotePrefix="0" xfId="24"/>
    <xf applyAlignment="1" borderId="28" fillId="0" fontId="57" numFmtId="38" pivotButton="0" quotePrefix="0" xfId="39">
      <alignment vertical="center"/>
    </xf>
    <xf applyAlignment="1" borderId="0" fillId="0" fontId="57" numFmtId="38" pivotButton="0" quotePrefix="0" xfId="39">
      <alignment vertical="center"/>
    </xf>
    <xf borderId="1" fillId="4" fontId="8" numFmtId="164" pivotButton="0" quotePrefix="0" xfId="24"/>
    <xf applyAlignment="1" borderId="28" fillId="4" fontId="8" numFmtId="38" pivotButton="0" quotePrefix="0" xfId="39">
      <alignment vertical="center"/>
    </xf>
    <xf applyAlignment="1" borderId="19" fillId="4" fontId="8" numFmtId="38" pivotButton="0" quotePrefix="0" xfId="39">
      <alignment vertical="center"/>
    </xf>
    <xf borderId="0" fillId="0" fontId="22" numFmtId="164" pivotButton="0" quotePrefix="0" xfId="0"/>
    <xf borderId="0" fillId="0" fontId="8" numFmtId="169" pivotButton="0" quotePrefix="0" xfId="24"/>
    <xf borderId="0" fillId="0" fontId="8" numFmtId="9" pivotButton="0" quotePrefix="0" xfId="50"/>
    <xf borderId="0" fillId="0" fontId="25" numFmtId="164" pivotButton="0" quotePrefix="0" xfId="0"/>
    <xf applyAlignment="1" borderId="3" fillId="15" fontId="26" numFmtId="164" pivotButton="0" quotePrefix="0" xfId="24">
      <alignment horizontal="center"/>
    </xf>
    <xf applyAlignment="1" borderId="0" fillId="15" fontId="46" numFmtId="9" pivotButton="0" quotePrefix="0" xfId="50">
      <alignment horizontal="center"/>
    </xf>
    <xf applyAlignment="1" borderId="0" fillId="0" fontId="47" numFmtId="169" pivotButton="0" quotePrefix="0" xfId="24">
      <alignment horizontal="center"/>
    </xf>
    <xf applyAlignment="1" borderId="0" fillId="0" fontId="47" numFmtId="38" pivotButton="0" quotePrefix="0" xfId="39">
      <alignment vertical="center"/>
    </xf>
    <xf borderId="49" fillId="13" fontId="11" numFmtId="169" pivotButton="0" quotePrefix="0" xfId="24"/>
    <xf borderId="49" fillId="13" fontId="40" numFmtId="9" pivotButton="0" quotePrefix="0" xfId="50"/>
    <xf applyAlignment="1" borderId="0" fillId="0" fontId="47" numFmtId="38" pivotButton="0" quotePrefix="0" xfId="39">
      <alignment horizontal="center" vertical="center"/>
    </xf>
    <xf borderId="40" fillId="3" fontId="53" numFmtId="172" pivotButton="0" quotePrefix="0" xfId="29"/>
    <xf borderId="0" fillId="3" fontId="53" numFmtId="172" pivotButton="0" quotePrefix="0" xfId="61"/>
    <xf borderId="22" fillId="3" fontId="53" numFmtId="172" pivotButton="0" quotePrefix="0" xfId="29"/>
    <xf applyAlignment="1" borderId="40" fillId="22" fontId="52" numFmtId="168" pivotButton="0" quotePrefix="0" xfId="29">
      <alignment horizontal="center" vertical="center"/>
    </xf>
    <xf applyAlignment="1" borderId="0" fillId="22" fontId="52" numFmtId="168" pivotButton="0" quotePrefix="0" xfId="29">
      <alignment horizontal="center" vertical="center"/>
    </xf>
    <xf borderId="0" fillId="22" fontId="0" numFmtId="164" pivotButton="0" quotePrefix="0" xfId="0"/>
    <xf applyAlignment="1" borderId="40" fillId="22" fontId="53" numFmtId="171" pivotButton="0" quotePrefix="0" xfId="29">
      <alignment horizontal="center" vertical="center" wrapText="1"/>
    </xf>
    <xf applyAlignment="1" borderId="0" fillId="22" fontId="53" numFmtId="171" pivotButton="0" quotePrefix="0" xfId="29">
      <alignment horizontal="center" vertical="center" wrapText="1"/>
    </xf>
    <xf borderId="40" fillId="22" fontId="53" numFmtId="172" pivotButton="0" quotePrefix="0" xfId="29"/>
    <xf borderId="0" fillId="22" fontId="53" numFmtId="172" pivotButton="0" quotePrefix="0" xfId="61"/>
    <xf borderId="22" fillId="22" fontId="53" numFmtId="172" pivotButton="0" quotePrefix="0" xfId="29"/>
    <xf borderId="22" fillId="22" fontId="53" numFmtId="172" pivotButton="0" quotePrefix="0" xfId="61"/>
    <xf borderId="40" fillId="22" fontId="53" numFmtId="172" pivotButton="0" quotePrefix="0" xfId="61"/>
    <xf applyAlignment="1" borderId="40" fillId="22" fontId="52" numFmtId="165" pivotButton="0" quotePrefix="0" xfId="14">
      <alignment horizontal="center" vertical="center"/>
    </xf>
    <xf applyAlignment="1" borderId="0" fillId="22" fontId="52" numFmtId="165" pivotButton="0" quotePrefix="0" xfId="14">
      <alignment horizontal="center" vertical="center"/>
    </xf>
    <xf applyAlignment="1" borderId="40" fillId="22" fontId="53" numFmtId="165" pivotButton="0" quotePrefix="0" xfId="14">
      <alignment horizontal="center" vertical="center"/>
    </xf>
    <xf applyAlignment="1" borderId="0" fillId="22" fontId="53" numFmtId="168" pivotButton="0" quotePrefix="0" xfId="29">
      <alignment vertical="center"/>
    </xf>
    <xf applyAlignment="1" borderId="40" fillId="22" fontId="53" numFmtId="173" pivotButton="0" quotePrefix="0" xfId="14">
      <alignment horizontal="center" vertical="center"/>
    </xf>
    <xf applyAlignment="1" borderId="0" fillId="22" fontId="53" numFmtId="165" pivotButton="0" quotePrefix="0" xfId="14">
      <alignment horizontal="center" vertical="center"/>
    </xf>
    <xf applyAlignment="1" borderId="40" fillId="23" fontId="52" numFmtId="168" pivotButton="0" quotePrefix="0" xfId="29">
      <alignment horizontal="center" vertical="center"/>
    </xf>
    <xf applyAlignment="1" borderId="0" fillId="23" fontId="52" numFmtId="168" pivotButton="0" quotePrefix="0" xfId="29">
      <alignment horizontal="center" vertical="center"/>
    </xf>
    <xf borderId="0" fillId="23" fontId="0" numFmtId="164" pivotButton="0" quotePrefix="0" xfId="0"/>
    <xf applyAlignment="1" borderId="40" fillId="23" fontId="53" numFmtId="171" pivotButton="0" quotePrefix="0" xfId="29">
      <alignment horizontal="center" vertical="center" wrapText="1"/>
    </xf>
    <xf applyAlignment="1" borderId="0" fillId="23" fontId="53" numFmtId="171" pivotButton="0" quotePrefix="0" xfId="29">
      <alignment horizontal="center" vertical="center" wrapText="1"/>
    </xf>
    <xf borderId="40" fillId="23" fontId="53" numFmtId="172" pivotButton="0" quotePrefix="0" xfId="29"/>
    <xf borderId="0" fillId="23" fontId="53" numFmtId="172" pivotButton="0" quotePrefix="0" xfId="61"/>
    <xf borderId="22" fillId="23" fontId="53" numFmtId="172" pivotButton="0" quotePrefix="0" xfId="29"/>
    <xf borderId="22" fillId="23" fontId="53" numFmtId="172" pivotButton="0" quotePrefix="0" xfId="61"/>
    <xf borderId="40" fillId="23" fontId="53" numFmtId="172" pivotButton="0" quotePrefix="0" xfId="61"/>
    <xf applyAlignment="1" borderId="40" fillId="23" fontId="52" numFmtId="165" pivotButton="0" quotePrefix="0" xfId="14">
      <alignment horizontal="center" vertical="center"/>
    </xf>
    <xf applyAlignment="1" borderId="0" fillId="23" fontId="52" numFmtId="165" pivotButton="0" quotePrefix="0" xfId="14">
      <alignment horizontal="center" vertical="center"/>
    </xf>
    <xf applyAlignment="1" borderId="40" fillId="23" fontId="53" numFmtId="165" pivotButton="0" quotePrefix="0" xfId="14">
      <alignment horizontal="center" vertical="center"/>
    </xf>
    <xf applyAlignment="1" borderId="0" fillId="23" fontId="53" numFmtId="168" pivotButton="0" quotePrefix="0" xfId="29">
      <alignment vertical="center"/>
    </xf>
    <xf applyAlignment="1" borderId="40" fillId="23" fontId="53" numFmtId="173" pivotButton="0" quotePrefix="0" xfId="14">
      <alignment horizontal="center" vertical="center"/>
    </xf>
    <xf applyAlignment="1" borderId="0" fillId="23" fontId="53" numFmtId="165" pivotButton="0" quotePrefix="0" xfId="14">
      <alignment horizontal="center" vertical="center"/>
    </xf>
    <xf applyAlignment="1" borderId="40" fillId="4" fontId="53" numFmtId="171" pivotButton="0" quotePrefix="0" xfId="29">
      <alignment horizontal="center" vertical="center" wrapText="1"/>
    </xf>
    <xf borderId="40" fillId="4" fontId="53" numFmtId="172" pivotButton="0" quotePrefix="0" xfId="29"/>
    <xf borderId="22" fillId="4" fontId="53" numFmtId="172" pivotButton="0" quotePrefix="0" xfId="29"/>
    <xf applyAlignment="1" borderId="40" fillId="4" fontId="53" numFmtId="165" pivotButton="0" quotePrefix="0" xfId="14">
      <alignment horizontal="center" vertical="center"/>
    </xf>
    <xf applyAlignment="1" borderId="40" fillId="4" fontId="53" numFmtId="173" pivotButton="0" quotePrefix="0" xfId="14">
      <alignment horizontal="center" vertical="center"/>
    </xf>
    <xf applyAlignment="1" borderId="40" fillId="4" fontId="52" numFmtId="168" pivotButton="0" quotePrefix="0" xfId="29">
      <alignment horizontal="center" vertical="center"/>
    </xf>
    <xf borderId="22" fillId="4" fontId="53" numFmtId="172" pivotButton="0" quotePrefix="0" xfId="61"/>
    <xf borderId="40" fillId="4" fontId="53" numFmtId="172" pivotButton="0" quotePrefix="0" xfId="61"/>
    <xf applyAlignment="1" borderId="40" fillId="4" fontId="52" numFmtId="165" pivotButton="0" quotePrefix="0" xfId="14">
      <alignment horizontal="center" vertical="center"/>
    </xf>
    <xf borderId="22" fillId="3" fontId="58" numFmtId="172" pivotButton="0" quotePrefix="0" xfId="29"/>
    <xf applyAlignment="1" borderId="40" fillId="23" fontId="58" numFmtId="165" pivotButton="0" quotePrefix="0" xfId="14">
      <alignment horizontal="center" vertical="center"/>
    </xf>
    <xf borderId="40" fillId="23" fontId="58" numFmtId="172" pivotButton="0" quotePrefix="0" xfId="29"/>
    <xf borderId="0" fillId="23" fontId="58" numFmtId="172" pivotButton="0" quotePrefix="0" xfId="61"/>
    <xf borderId="22" fillId="23" fontId="58" numFmtId="172" pivotButton="0" quotePrefix="0" xfId="29"/>
    <xf applyAlignment="1" borderId="0" fillId="23" fontId="59" numFmtId="165" pivotButton="0" quotePrefix="0" xfId="14">
      <alignment horizontal="center" vertical="center"/>
    </xf>
    <xf applyAlignment="1" borderId="0" fillId="0" fontId="17" numFmtId="38" pivotButton="0" quotePrefix="0" xfId="39">
      <alignment vertical="center"/>
    </xf>
    <xf applyAlignment="1" borderId="0" fillId="0" fontId="16" numFmtId="38" pivotButton="0" quotePrefix="0" xfId="39">
      <alignment horizontal="center" vertical="center"/>
    </xf>
    <xf applyAlignment="1" borderId="0" fillId="0" fontId="60" numFmtId="164" pivotButton="0" quotePrefix="0" xfId="23">
      <alignment vertical="center"/>
    </xf>
    <xf applyAlignment="1" borderId="0" fillId="0" fontId="60" numFmtId="164" pivotButton="0" quotePrefix="0" xfId="23">
      <alignment horizontal="center" vertical="center"/>
    </xf>
    <xf applyAlignment="1" borderId="0" fillId="0" fontId="60" numFmtId="3" pivotButton="0" quotePrefix="0" xfId="23">
      <alignment horizontal="center" vertical="center"/>
    </xf>
    <xf applyAlignment="1" borderId="44" fillId="0" fontId="53" numFmtId="174" pivotButton="0" quotePrefix="0" xfId="14">
      <alignment horizontal="center" vertical="center"/>
    </xf>
    <xf applyAlignment="1" borderId="0" fillId="0" fontId="52" numFmtId="174" pivotButton="0" quotePrefix="0" xfId="14">
      <alignment horizontal="center" vertical="center"/>
    </xf>
    <xf applyAlignment="1" borderId="0" fillId="0" fontId="53" numFmtId="174" pivotButton="0" quotePrefix="0" xfId="14">
      <alignment horizontal="center" vertical="center"/>
    </xf>
    <xf applyAlignment="1" borderId="22" fillId="0" fontId="60" numFmtId="164" pivotButton="0" quotePrefix="0" xfId="23">
      <alignment vertical="center"/>
    </xf>
    <xf applyAlignment="1" borderId="22" fillId="0" fontId="61" numFmtId="3" pivotButton="0" quotePrefix="0" xfId="23">
      <alignment horizontal="center" vertical="center"/>
    </xf>
    <xf applyAlignment="1" borderId="22" fillId="2" fontId="61" numFmtId="3" pivotButton="0" quotePrefix="0" xfId="23">
      <alignment horizontal="center" vertical="center"/>
    </xf>
    <xf applyAlignment="1" borderId="0" fillId="0" fontId="60" numFmtId="164" pivotButton="0" quotePrefix="0" xfId="23">
      <alignment horizontal="center" vertical="center"/>
    </xf>
    <xf applyAlignment="1" borderId="0" fillId="0" fontId="60" numFmtId="3" pivotButton="0" quotePrefix="0" xfId="23">
      <alignment horizontal="center" vertical="center"/>
    </xf>
    <xf applyAlignment="1" borderId="54" fillId="0" fontId="60" numFmtId="164" pivotButton="0" quotePrefix="0" xfId="23">
      <alignment horizontal="center" vertical="center"/>
    </xf>
    <xf applyAlignment="1" borderId="54" fillId="0" fontId="61" numFmtId="164" pivotButton="0" quotePrefix="0" xfId="23">
      <alignment horizontal="center" vertical="center"/>
    </xf>
    <xf applyAlignment="1" borderId="54" fillId="0" fontId="61" numFmtId="164" pivotButton="0" quotePrefix="0" xfId="23">
      <alignment horizontal="center" vertical="center" wrapText="1"/>
    </xf>
    <xf applyAlignment="1" borderId="54" fillId="0" fontId="62" numFmtId="164" pivotButton="0" quotePrefix="0" xfId="23">
      <alignment horizontal="center" vertical="center"/>
    </xf>
    <xf applyAlignment="1" borderId="22" fillId="2" fontId="61" numFmtId="174" pivotButton="0" quotePrefix="0" xfId="23">
      <alignment horizontal="center" vertical="center"/>
    </xf>
    <xf applyAlignment="1" borderId="0" fillId="0" fontId="60" numFmtId="3" pivotButton="0" quotePrefix="0" xfId="23">
      <alignment vertical="center"/>
    </xf>
    <xf applyAlignment="1" borderId="0" fillId="3" fontId="60" numFmtId="164" pivotButton="0" quotePrefix="0" xfId="23">
      <alignment vertical="center"/>
    </xf>
    <xf applyAlignment="1" borderId="0" fillId="0" fontId="60" numFmtId="164" pivotButton="0" quotePrefix="0" xfId="23">
      <alignment vertical="center"/>
    </xf>
    <xf borderId="0" fillId="0" fontId="25" numFmtId="169" pivotButton="0" quotePrefix="0" xfId="0"/>
    <xf borderId="0" fillId="0" fontId="8" numFmtId="164" pivotButton="0" quotePrefix="0" xfId="0"/>
    <xf borderId="0" fillId="0" fontId="22" numFmtId="9" pivotButton="0" quotePrefix="0" xfId="50"/>
    <xf borderId="0" fillId="0" fontId="11" numFmtId="164" pivotButton="0" quotePrefix="0" xfId="0"/>
    <xf borderId="0" fillId="0" fontId="11" numFmtId="169" pivotButton="0" quotePrefix="0" xfId="0"/>
    <xf borderId="0" fillId="0" fontId="11" numFmtId="164" pivotButton="0" quotePrefix="0" xfId="0"/>
    <xf borderId="0" fillId="0" fontId="11" numFmtId="38" pivotButton="0" quotePrefix="0" xfId="0"/>
    <xf borderId="0" fillId="0" fontId="11" numFmtId="9" pivotButton="0" quotePrefix="0" xfId="50"/>
    <xf borderId="0" fillId="0" fontId="63" numFmtId="164" pivotButton="0" quotePrefix="0" xfId="0"/>
    <xf borderId="0" fillId="0" fontId="63" numFmtId="169" pivotButton="0" quotePrefix="0" xfId="0"/>
    <xf borderId="0" fillId="0" fontId="63" numFmtId="164" pivotButton="0" quotePrefix="0" xfId="0"/>
    <xf borderId="0" fillId="25" fontId="63" numFmtId="38" pivotButton="0" quotePrefix="0" xfId="0"/>
    <xf borderId="0" fillId="0" fontId="8" numFmtId="38" pivotButton="0" quotePrefix="0" xfId="0"/>
    <xf borderId="5" fillId="24" fontId="8" numFmtId="169" pivotButton="0" quotePrefix="0" xfId="24"/>
    <xf borderId="49" fillId="24" fontId="8" numFmtId="169" pivotButton="0" quotePrefix="0" xfId="24"/>
    <xf borderId="49" fillId="24" fontId="11" numFmtId="169" pivotButton="0" quotePrefix="0" xfId="24"/>
    <xf applyAlignment="1" borderId="28" fillId="24" fontId="8" numFmtId="38" pivotButton="0" quotePrefix="0" xfId="39">
      <alignment vertical="center"/>
    </xf>
    <xf applyAlignment="1" borderId="27" fillId="24" fontId="8" numFmtId="38" pivotButton="0" quotePrefix="0" xfId="39">
      <alignment vertical="center"/>
    </xf>
    <xf borderId="7" fillId="24" fontId="8" numFmtId="169" pivotButton="0" quotePrefix="0" xfId="24"/>
    <xf borderId="0" fillId="24" fontId="8" numFmtId="9" pivotButton="0" quotePrefix="0" xfId="50"/>
    <xf applyAlignment="1" borderId="4" fillId="0" fontId="8" numFmtId="38" pivotButton="0" quotePrefix="0" xfId="39">
      <alignment vertical="center"/>
    </xf>
    <xf applyAlignment="1" borderId="26" fillId="0" fontId="8" numFmtId="38" pivotButton="0" quotePrefix="0" xfId="39">
      <alignment vertical="center"/>
    </xf>
    <xf applyAlignment="1" borderId="25" fillId="0" fontId="8" numFmtId="38" pivotButton="0" quotePrefix="0" xfId="39">
      <alignment vertical="center"/>
    </xf>
    <xf borderId="4" fillId="0" fontId="8" numFmtId="164" pivotButton="0" quotePrefix="0" xfId="24"/>
    <xf borderId="5" fillId="24" fontId="8" numFmtId="9" pivotButton="0" quotePrefix="0" xfId="50"/>
    <xf borderId="49" fillId="24" fontId="8" numFmtId="164" pivotButton="0" quotePrefix="0" xfId="24"/>
    <xf borderId="7" fillId="24" fontId="10" numFmtId="164" pivotButton="0" quotePrefix="0" xfId="24"/>
    <xf borderId="54" fillId="0" fontId="8" numFmtId="164" pivotButton="0" quotePrefix="0" xfId="24"/>
    <xf borderId="49" fillId="24" fontId="11" numFmtId="9" pivotButton="0" quotePrefix="0" xfId="50"/>
    <xf applyAlignment="1" borderId="7" fillId="0" fontId="8" numFmtId="38" pivotButton="0" quotePrefix="0" xfId="39">
      <alignment vertical="center"/>
    </xf>
    <xf applyAlignment="1" borderId="4" fillId="24" fontId="8" numFmtId="38" pivotButton="0" quotePrefix="0" xfId="39">
      <alignment vertical="center"/>
    </xf>
    <xf applyAlignment="1" borderId="26" fillId="24" fontId="8" numFmtId="38" pivotButton="0" quotePrefix="0" xfId="39">
      <alignment vertical="center"/>
    </xf>
    <xf applyAlignment="1" borderId="25" fillId="24" fontId="8" numFmtId="38" pivotButton="0" quotePrefix="0" xfId="39">
      <alignment vertical="center"/>
    </xf>
    <xf borderId="4" fillId="24" fontId="8" numFmtId="164" pivotButton="0" quotePrefix="0" xfId="24"/>
    <xf borderId="49" fillId="24" fontId="8" numFmtId="9" pivotButton="0" quotePrefix="0" xfId="50"/>
    <xf borderId="0" fillId="0" fontId="8" numFmtId="175" pivotButton="0" quotePrefix="0" xfId="43"/>
    <xf borderId="9" fillId="24" fontId="8" numFmtId="165" pivotButton="0" quotePrefix="0" xfId="43"/>
    <xf borderId="8" fillId="24" fontId="10" numFmtId="164" pivotButton="0" quotePrefix="0" xfId="24"/>
    <xf borderId="9" fillId="24" fontId="10" numFmtId="164" pivotButton="0" quotePrefix="0" xfId="24"/>
    <xf applyAlignment="1" borderId="0" fillId="0" fontId="8" numFmtId="164" pivotButton="0" quotePrefix="0" xfId="0">
      <alignment horizontal="left"/>
    </xf>
    <xf borderId="9" fillId="24" fontId="16" numFmtId="164" pivotButton="0" quotePrefix="0" xfId="24"/>
    <xf borderId="49" fillId="24" fontId="10" numFmtId="164" pivotButton="0" quotePrefix="0" xfId="24"/>
    <xf borderId="0" fillId="0" fontId="56" numFmtId="169" pivotButton="0" quotePrefix="0" xfId="0"/>
    <xf applyAlignment="1" borderId="0" fillId="0" fontId="8" numFmtId="165" pivotButton="0" quotePrefix="0" xfId="43">
      <alignment horizontal="left"/>
    </xf>
    <xf applyAlignment="1" borderId="7" fillId="24" fontId="8" numFmtId="38" pivotButton="0" quotePrefix="0" xfId="39">
      <alignment vertical="center"/>
    </xf>
    <xf borderId="49" fillId="24" fontId="10" numFmtId="164" pivotButton="0" quotePrefix="1" xfId="24"/>
    <xf borderId="3" fillId="24" fontId="8" numFmtId="9" pivotButton="0" quotePrefix="0" xfId="50"/>
    <xf borderId="5" fillId="24" fontId="8" numFmtId="164" pivotButton="0" quotePrefix="0" xfId="24"/>
    <xf borderId="54" fillId="24" fontId="8" numFmtId="9" pivotButton="0" quotePrefix="0" xfId="50"/>
    <xf borderId="49" fillId="24" fontId="23" numFmtId="164" pivotButton="0" quotePrefix="0" xfId="24"/>
    <xf borderId="7" fillId="24" fontId="8" numFmtId="164" pivotButton="0" quotePrefix="0" xfId="24"/>
    <xf applyAlignment="1" borderId="49" fillId="24" fontId="10" numFmtId="164" pivotButton="0" quotePrefix="1" xfId="24">
      <alignment wrapText="1"/>
    </xf>
    <xf applyAlignment="1" borderId="31" fillId="26" fontId="11" numFmtId="38" pivotButton="0" quotePrefix="0" xfId="39">
      <alignment vertical="center"/>
    </xf>
    <xf applyAlignment="1" borderId="39" fillId="26" fontId="11" numFmtId="38" pivotButton="0" quotePrefix="0" xfId="39">
      <alignment vertical="center"/>
    </xf>
    <xf applyAlignment="1" borderId="38" fillId="26" fontId="11" numFmtId="38" pivotButton="0" quotePrefix="0" xfId="39">
      <alignment vertical="center"/>
    </xf>
    <xf applyAlignment="1" borderId="31" fillId="26" fontId="11" numFmtId="169" pivotButton="0" quotePrefix="0" xfId="24">
      <alignment horizontal="center"/>
    </xf>
    <xf applyAlignment="1" borderId="30" fillId="26" fontId="11" numFmtId="169" pivotButton="0" quotePrefix="0" xfId="24">
      <alignment horizontal="left"/>
    </xf>
    <xf applyAlignment="1" borderId="23" fillId="26" fontId="11" numFmtId="169" pivotButton="0" quotePrefix="0" xfId="24">
      <alignment horizontal="left"/>
    </xf>
    <xf applyAlignment="1" borderId="4" fillId="0" fontId="8" numFmtId="169" pivotButton="0" quotePrefix="0" xfId="24">
      <alignment horizontal="center"/>
    </xf>
    <xf applyAlignment="1" borderId="3" fillId="26" fontId="8" numFmtId="169" pivotButton="0" quotePrefix="0" xfId="24">
      <alignment horizontal="left"/>
    </xf>
    <xf applyAlignment="1" borderId="5" fillId="26" fontId="8" numFmtId="169" pivotButton="0" quotePrefix="0" xfId="24">
      <alignment horizontal="left"/>
    </xf>
    <xf applyAlignment="1" borderId="7" fillId="0" fontId="8" numFmtId="169" pivotButton="0" quotePrefix="0" xfId="24">
      <alignment horizontal="center"/>
    </xf>
    <xf applyAlignment="1" borderId="0" fillId="26" fontId="8" numFmtId="169" pivotButton="0" quotePrefix="0" xfId="24">
      <alignment horizontal="left"/>
    </xf>
    <xf applyAlignment="1" borderId="49" fillId="26" fontId="8" numFmtId="169" pivotButton="0" quotePrefix="0" xfId="24">
      <alignment horizontal="left"/>
    </xf>
    <xf applyAlignment="1" borderId="28" fillId="26" fontId="8" numFmtId="38" pivotButton="0" quotePrefix="0" xfId="39">
      <alignment vertical="center"/>
    </xf>
    <xf applyAlignment="1" borderId="27" fillId="26" fontId="8" numFmtId="38" pivotButton="0" quotePrefix="0" xfId="39">
      <alignment vertical="center"/>
    </xf>
    <xf borderId="7" fillId="26" fontId="8" numFmtId="169" pivotButton="0" quotePrefix="0" xfId="24"/>
    <xf borderId="0" fillId="26" fontId="8" numFmtId="9" pivotButton="0" quotePrefix="0" xfId="50"/>
    <xf borderId="49" fillId="26" fontId="8" numFmtId="169" pivotButton="0" quotePrefix="0" xfId="24"/>
    <xf applyAlignment="1" borderId="4" fillId="26" fontId="8" numFmtId="38" pivotButton="0" quotePrefix="0" xfId="39">
      <alignment vertical="center"/>
    </xf>
    <xf applyAlignment="1" borderId="26" fillId="26" fontId="8" numFmtId="38" pivotButton="0" quotePrefix="0" xfId="39">
      <alignment vertical="center"/>
    </xf>
    <xf applyAlignment="1" borderId="25" fillId="26" fontId="8" numFmtId="38" pivotButton="0" quotePrefix="0" xfId="39">
      <alignment vertical="center"/>
    </xf>
    <xf borderId="4" fillId="26" fontId="8" numFmtId="164" pivotButton="0" quotePrefix="0" xfId="24"/>
    <xf borderId="5" fillId="26" fontId="8" numFmtId="9" pivotButton="0" quotePrefix="0" xfId="50"/>
    <xf borderId="49" fillId="26" fontId="8" numFmtId="164" pivotButton="0" quotePrefix="0" xfId="24"/>
    <xf borderId="49" fillId="26" fontId="8" numFmtId="9" pivotButton="0" quotePrefix="0" xfId="50"/>
    <xf applyAlignment="1" borderId="7" fillId="26" fontId="8" numFmtId="38" pivotButton="0" quotePrefix="0" xfId="39">
      <alignment vertical="center"/>
    </xf>
    <xf borderId="3" fillId="26" fontId="8" numFmtId="9" pivotButton="0" quotePrefix="0" xfId="50"/>
    <xf borderId="5" fillId="26" fontId="8" numFmtId="164" pivotButton="0" quotePrefix="0" xfId="24"/>
    <xf borderId="0" fillId="0" fontId="25" numFmtId="164" pivotButton="0" quotePrefix="0" xfId="0"/>
    <xf applyAlignment="1" borderId="4" fillId="15" fontId="24" numFmtId="38" pivotButton="0" quotePrefix="0" xfId="39">
      <alignment vertical="center"/>
    </xf>
    <xf applyAlignment="1" borderId="26" fillId="15" fontId="24" numFmtId="38" pivotButton="0" quotePrefix="0" xfId="39">
      <alignment vertical="center"/>
    </xf>
    <xf applyAlignment="1" borderId="25" fillId="15" fontId="24" numFmtId="38" pivotButton="0" quotePrefix="0" xfId="39">
      <alignment vertical="center"/>
    </xf>
    <xf borderId="4" fillId="15" fontId="24" numFmtId="164" pivotButton="0" quotePrefix="0" xfId="24"/>
    <xf borderId="54" fillId="15" fontId="24" numFmtId="9" pivotButton="0" quotePrefix="0" xfId="50"/>
    <xf applyAlignment="1" borderId="59" fillId="26" fontId="8" numFmtId="38" pivotButton="0" quotePrefix="0" xfId="39">
      <alignment vertical="center"/>
    </xf>
    <xf applyAlignment="1" borderId="60" fillId="26" fontId="8" numFmtId="38" pivotButton="0" quotePrefix="0" xfId="39">
      <alignment vertical="center"/>
    </xf>
    <xf borderId="7" fillId="26" fontId="8" numFmtId="164" pivotButton="0" quotePrefix="0" xfId="24"/>
    <xf borderId="57" fillId="26" fontId="8" numFmtId="169" pivotButton="0" quotePrefix="0" xfId="24"/>
    <xf borderId="0" fillId="0" fontId="8" numFmtId="9" pivotButton="0" quotePrefix="0" xfId="50"/>
    <xf applyAlignment="1" borderId="49" fillId="26" fontId="10" numFmtId="164" pivotButton="0" quotePrefix="1" xfId="24">
      <alignment wrapText="1"/>
    </xf>
    <xf borderId="49" fillId="26" fontId="23" numFmtId="164" pivotButton="0" quotePrefix="0" xfId="24"/>
    <xf borderId="7" fillId="26" fontId="10" numFmtId="164" pivotButton="0" quotePrefix="0" xfId="24"/>
    <xf borderId="9" fillId="26" fontId="8" numFmtId="165" pivotButton="0" quotePrefix="0" xfId="43"/>
    <xf borderId="8" fillId="26" fontId="10" numFmtId="164" pivotButton="0" quotePrefix="0" xfId="24"/>
    <xf borderId="9" fillId="26" fontId="10" numFmtId="164" pivotButton="0" quotePrefix="0" xfId="24"/>
    <xf borderId="9" fillId="26" fontId="16" numFmtId="164" pivotButton="0" quotePrefix="0" xfId="24"/>
    <xf borderId="49" fillId="26" fontId="10" numFmtId="164" pivotButton="0" quotePrefix="0" xfId="24"/>
    <xf borderId="49" fillId="26" fontId="10" numFmtId="164" pivotButton="0" quotePrefix="1" xfId="24"/>
    <xf borderId="0" fillId="0" fontId="11" numFmtId="169" pivotButton="0" quotePrefix="0" xfId="43"/>
    <xf borderId="0" fillId="0" fontId="11" numFmtId="169" pivotButton="0" quotePrefix="0" xfId="24"/>
    <xf applyAlignment="1" borderId="3" fillId="0" fontId="8" numFmtId="169" pivotButton="0" quotePrefix="0" xfId="24">
      <alignment horizontal="left"/>
    </xf>
    <xf applyAlignment="1" borderId="5" fillId="0" fontId="8" numFmtId="169" pivotButton="0" quotePrefix="0" xfId="24">
      <alignment horizontal="left"/>
    </xf>
    <xf applyAlignment="1" borderId="49" fillId="0" fontId="8" numFmtId="169" pivotButton="0" quotePrefix="0" xfId="24">
      <alignment horizontal="left"/>
    </xf>
    <xf borderId="49" fillId="26" fontId="11" numFmtId="169" pivotButton="0" quotePrefix="0" xfId="24"/>
    <xf borderId="49" fillId="26" fontId="1" numFmtId="164" pivotButton="0" quotePrefix="1" xfId="24"/>
    <xf applyAlignment="1" borderId="31" fillId="28" fontId="11" numFmtId="38" pivotButton="0" quotePrefix="0" xfId="39">
      <alignment vertical="center"/>
    </xf>
    <xf applyAlignment="1" borderId="39" fillId="28" fontId="11" numFmtId="38" pivotButton="0" quotePrefix="0" xfId="39">
      <alignment vertical="center"/>
    </xf>
    <xf applyAlignment="1" borderId="38" fillId="28" fontId="11" numFmtId="38" pivotButton="0" quotePrefix="0" xfId="39">
      <alignment vertical="center"/>
    </xf>
    <xf applyAlignment="1" borderId="31" fillId="28" fontId="11" numFmtId="169" pivotButton="0" quotePrefix="0" xfId="24">
      <alignment horizontal="center"/>
    </xf>
    <xf applyAlignment="1" borderId="30" fillId="28" fontId="11" numFmtId="169" pivotButton="0" quotePrefix="0" xfId="24">
      <alignment horizontal="left"/>
    </xf>
    <xf applyAlignment="1" borderId="23" fillId="28" fontId="11" numFmtId="169" pivotButton="0" quotePrefix="0" xfId="24">
      <alignment horizontal="left"/>
    </xf>
    <xf borderId="57" fillId="28" fontId="8" numFmtId="169" pivotButton="0" quotePrefix="0" xfId="24"/>
    <xf applyAlignment="1" borderId="3" fillId="28" fontId="11" numFmtId="169" pivotButton="0" quotePrefix="0" xfId="24">
      <alignment horizontal="left"/>
    </xf>
    <xf applyAlignment="1" borderId="5" fillId="28" fontId="11" numFmtId="169" pivotButton="0" quotePrefix="0" xfId="24">
      <alignment horizontal="left"/>
    </xf>
    <xf applyAlignment="1" borderId="0" fillId="28" fontId="11" numFmtId="169" pivotButton="0" quotePrefix="0" xfId="24">
      <alignment horizontal="left"/>
    </xf>
    <xf applyAlignment="1" borderId="49" fillId="28" fontId="11" numFmtId="169" pivotButton="0" quotePrefix="0" xfId="24">
      <alignment horizontal="left"/>
    </xf>
    <xf borderId="49" fillId="28" fontId="11" numFmtId="169" pivotButton="0" quotePrefix="0" xfId="24"/>
    <xf applyAlignment="1" borderId="28" fillId="28" fontId="8" numFmtId="38" pivotButton="0" quotePrefix="0" xfId="39">
      <alignment vertical="center"/>
    </xf>
    <xf applyAlignment="1" borderId="27" fillId="28" fontId="8" numFmtId="38" pivotButton="0" quotePrefix="0" xfId="39">
      <alignment vertical="center"/>
    </xf>
    <xf borderId="7" fillId="28" fontId="8" numFmtId="169" pivotButton="0" quotePrefix="0" xfId="24"/>
    <xf borderId="0" fillId="28" fontId="8" numFmtId="9" pivotButton="0" quotePrefix="0" xfId="50"/>
    <xf borderId="49" fillId="28" fontId="8" numFmtId="169" pivotButton="0" quotePrefix="0" xfId="24"/>
    <xf applyAlignment="1" borderId="4" fillId="28" fontId="8" numFmtId="38" pivotButton="0" quotePrefix="0" xfId="39">
      <alignment vertical="center"/>
    </xf>
    <xf applyAlignment="1" borderId="26" fillId="28" fontId="8" numFmtId="38" pivotButton="0" quotePrefix="0" xfId="39">
      <alignment vertical="center"/>
    </xf>
    <xf applyAlignment="1" borderId="25" fillId="28" fontId="8" numFmtId="38" pivotButton="0" quotePrefix="0" xfId="39">
      <alignment vertical="center"/>
    </xf>
    <xf borderId="4" fillId="28" fontId="8" numFmtId="164" pivotButton="0" quotePrefix="0" xfId="24"/>
    <xf borderId="5" fillId="28" fontId="8" numFmtId="9" pivotButton="0" quotePrefix="0" xfId="50"/>
    <xf borderId="49" fillId="28" fontId="8" numFmtId="164" pivotButton="0" quotePrefix="0" xfId="24"/>
    <xf borderId="49" fillId="28" fontId="11" numFmtId="9" pivotButton="0" quotePrefix="0" xfId="50"/>
    <xf applyAlignment="1" borderId="26" fillId="0" fontId="11" numFmtId="38" pivotButton="0" quotePrefix="0" xfId="39">
      <alignment vertical="center"/>
    </xf>
    <xf borderId="49" fillId="28" fontId="8" numFmtId="9" pivotButton="0" quotePrefix="0" xfId="50"/>
    <xf applyAlignment="1" borderId="0" fillId="28" fontId="8" numFmtId="170" pivotButton="0" quotePrefix="0" xfId="39">
      <alignment vertical="center"/>
    </xf>
    <xf borderId="49" fillId="28" fontId="10" numFmtId="164" pivotButton="0" quotePrefix="0" xfId="24"/>
    <xf applyAlignment="1" borderId="7" fillId="28" fontId="8" numFmtId="38" pivotButton="0" quotePrefix="0" xfId="39">
      <alignment vertical="center"/>
    </xf>
    <xf borderId="49" fillId="28" fontId="10" numFmtId="164" pivotButton="0" quotePrefix="1" xfId="24"/>
    <xf borderId="3" fillId="28" fontId="8" numFmtId="9" pivotButton="0" quotePrefix="0" xfId="50"/>
    <xf borderId="5" fillId="28" fontId="8" numFmtId="164" pivotButton="0" quotePrefix="0" xfId="24"/>
    <xf applyAlignment="1" borderId="4" fillId="29" fontId="24" numFmtId="38" pivotButton="0" quotePrefix="0" xfId="39">
      <alignment vertical="center"/>
    </xf>
    <xf applyAlignment="1" borderId="26" fillId="29" fontId="24" numFmtId="38" pivotButton="0" quotePrefix="0" xfId="15">
      <alignment vertical="center"/>
    </xf>
    <xf applyAlignment="1" borderId="25" fillId="29" fontId="24" numFmtId="38" pivotButton="0" quotePrefix="0" xfId="15">
      <alignment vertical="center"/>
    </xf>
    <xf borderId="4" fillId="29" fontId="24" numFmtId="164" pivotButton="0" quotePrefix="0" xfId="24"/>
    <xf borderId="54" fillId="29" fontId="24" numFmtId="9" pivotButton="0" quotePrefix="0" xfId="50"/>
    <xf borderId="49" fillId="28" fontId="23" numFmtId="164" pivotButton="0" quotePrefix="0" xfId="24"/>
    <xf applyAlignment="1" borderId="28" fillId="28" fontId="11" numFmtId="38" pivotButton="0" quotePrefix="0" xfId="39">
      <alignment vertical="center"/>
    </xf>
    <xf borderId="7" fillId="28" fontId="8" numFmtId="164" pivotButton="0" quotePrefix="0" xfId="24"/>
    <xf applyAlignment="1" borderId="49" fillId="28" fontId="10" numFmtId="164" pivotButton="0" quotePrefix="1" xfId="24">
      <alignment wrapText="1"/>
    </xf>
    <xf borderId="57" fillId="28" fontId="11" numFmtId="169" pivotButton="0" quotePrefix="0" xfId="24"/>
    <xf borderId="49" fillId="28" fontId="10" numFmtId="176" pivotButton="0" quotePrefix="0" xfId="24"/>
    <xf applyAlignment="1" borderId="27" fillId="28" fontId="11" numFmtId="38" pivotButton="0" quotePrefix="0" xfId="39">
      <alignment vertical="center"/>
    </xf>
    <xf borderId="49" fillId="28" fontId="5" numFmtId="164" pivotButton="0" quotePrefix="1" xfId="24"/>
    <xf borderId="0" fillId="0" fontId="11" numFmtId="169" pivotButton="0" quotePrefix="0" xfId="0"/>
    <xf borderId="0" fillId="0" fontId="11" numFmtId="175" pivotButton="0" quotePrefix="0" xfId="0"/>
    <xf borderId="0" fillId="0" fontId="2" numFmtId="164" pivotButton="0" quotePrefix="0" xfId="24"/>
    <xf borderId="0" fillId="0" fontId="13" numFmtId="164" pivotButton="0" quotePrefix="0" xfId="24"/>
    <xf borderId="40" fillId="4" fontId="8" numFmtId="164" pivotButton="0" quotePrefix="0" xfId="24"/>
    <xf borderId="48" fillId="26" fontId="8" numFmtId="169" pivotButton="0" quotePrefix="0" xfId="24"/>
    <xf applyAlignment="1" borderId="27" fillId="2" fontId="8" numFmtId="38" pivotButton="0" quotePrefix="0" xfId="39">
      <alignment vertical="center"/>
    </xf>
    <xf applyAlignment="1" borderId="28" fillId="2" fontId="8" numFmtId="38" pivotButton="0" quotePrefix="0" xfId="39">
      <alignment vertical="center"/>
    </xf>
    <xf applyAlignment="1" borderId="50" fillId="2" fontId="8" numFmtId="38" pivotButton="0" quotePrefix="0" xfId="39">
      <alignment vertical="center"/>
    </xf>
    <xf borderId="48" fillId="26" fontId="11" numFmtId="169" pivotButton="0" quotePrefix="0" xfId="24"/>
    <xf borderId="48" fillId="28" fontId="11" numFmtId="164" pivotButton="0" quotePrefix="0" xfId="24"/>
    <xf applyAlignment="1" borderId="50" fillId="28" fontId="11" numFmtId="38" pivotButton="0" quotePrefix="0" xfId="39">
      <alignment vertical="center"/>
    </xf>
    <xf borderId="48" fillId="28" fontId="8" numFmtId="164" pivotButton="0" quotePrefix="0" xfId="24"/>
    <xf applyAlignment="1" borderId="55" fillId="28" fontId="8" numFmtId="38" pivotButton="0" quotePrefix="0" xfId="39">
      <alignment vertical="center"/>
    </xf>
    <xf borderId="48" fillId="0" fontId="8" numFmtId="164" pivotButton="0" quotePrefix="0" xfId="24"/>
    <xf applyAlignment="1" borderId="50" fillId="0" fontId="8" numFmtId="38" pivotButton="0" quotePrefix="0" xfId="39">
      <alignment vertical="center"/>
    </xf>
    <xf borderId="48" fillId="28" fontId="8" numFmtId="9" pivotButton="0" quotePrefix="0" xfId="50"/>
    <xf applyAlignment="1" borderId="55" fillId="0" fontId="8" numFmtId="38" pivotButton="0" quotePrefix="0" xfId="39">
      <alignment vertical="center"/>
    </xf>
    <xf applyAlignment="1" borderId="50" fillId="28" fontId="8" numFmtId="38" pivotButton="0" quotePrefix="0" xfId="39">
      <alignment vertical="center"/>
    </xf>
    <xf borderId="48" fillId="28" fontId="8" numFmtId="169" pivotButton="0" quotePrefix="0" xfId="24"/>
    <xf borderId="48" fillId="28" fontId="11" numFmtId="169" pivotButton="0" quotePrefix="0" xfId="24"/>
    <xf applyAlignment="1" borderId="56" fillId="28" fontId="11" numFmtId="38" pivotButton="0" quotePrefix="0" xfId="39">
      <alignment vertical="center"/>
    </xf>
    <xf applyAlignment="1" borderId="50" fillId="0" fontId="8" numFmtId="38" pivotButton="0" quotePrefix="0" xfId="15">
      <alignment vertical="center"/>
    </xf>
    <xf applyAlignment="1" borderId="25" fillId="20" fontId="8" numFmtId="38" pivotButton="0" quotePrefix="0" xfId="39">
      <alignment vertical="center"/>
    </xf>
    <xf applyAlignment="1" borderId="26" fillId="20" fontId="8" numFmtId="38" pivotButton="0" quotePrefix="0" xfId="39">
      <alignment vertical="center"/>
    </xf>
    <xf applyAlignment="1" borderId="59" fillId="26" fontId="11" numFmtId="38" pivotButton="0" quotePrefix="0" xfId="39">
      <alignment vertical="center"/>
    </xf>
    <xf applyAlignment="1" borderId="58" fillId="26" fontId="11" numFmtId="38" pivotButton="0" quotePrefix="0" xfId="39">
      <alignment vertical="center"/>
    </xf>
    <xf borderId="48" fillId="26" fontId="11" numFmtId="164" pivotButton="0" quotePrefix="0" xfId="24"/>
    <xf applyAlignment="1" borderId="50" fillId="26" fontId="8" numFmtId="38" pivotButton="0" quotePrefix="0" xfId="39">
      <alignment vertical="center"/>
    </xf>
    <xf borderId="48" fillId="26" fontId="8" numFmtId="164" pivotButton="0" quotePrefix="0" xfId="24"/>
    <xf applyAlignment="1" borderId="55" fillId="26" fontId="8" numFmtId="38" pivotButton="0" quotePrefix="0" xfId="39">
      <alignment vertical="center"/>
    </xf>
    <xf borderId="49" fillId="26" fontId="42" numFmtId="164" pivotButton="0" quotePrefix="0" xfId="24"/>
    <xf borderId="48" fillId="26" fontId="8" numFmtId="9" pivotButton="0" quotePrefix="0" xfId="50"/>
    <xf applyAlignment="1" borderId="27" fillId="20" fontId="8" numFmtId="38" pivotButton="0" quotePrefix="0" xfId="15">
      <alignment vertical="center"/>
    </xf>
    <xf borderId="48" fillId="26" fontId="11" numFmtId="9" pivotButton="0" quotePrefix="0" xfId="50"/>
    <xf applyAlignment="1" borderId="56" fillId="26" fontId="11" numFmtId="38" pivotButton="0" quotePrefix="0" xfId="39">
      <alignment vertical="center"/>
    </xf>
    <xf applyAlignment="1" borderId="28" fillId="24" fontId="11" numFmtId="38" pivotButton="0" quotePrefix="0" xfId="39">
      <alignment vertical="center"/>
    </xf>
    <xf applyAlignment="1" borderId="50" fillId="24" fontId="11" numFmtId="38" pivotButton="0" quotePrefix="0" xfId="39">
      <alignment vertical="center"/>
    </xf>
    <xf borderId="48" fillId="24" fontId="8" numFmtId="164" pivotButton="0" quotePrefix="0" xfId="24"/>
    <xf applyAlignment="1" borderId="55" fillId="24" fontId="8" numFmtId="38" pivotButton="0" quotePrefix="0" xfId="39">
      <alignment vertical="center"/>
    </xf>
    <xf applyAlignment="1" borderId="50" fillId="24" fontId="8" numFmtId="38" pivotButton="0" quotePrefix="0" xfId="39">
      <alignment vertical="center"/>
    </xf>
    <xf borderId="48" fillId="24" fontId="8" numFmtId="9" pivotButton="0" quotePrefix="0" xfId="50"/>
    <xf borderId="0" fillId="26" fontId="8" numFmtId="9" pivotButton="0" quotePrefix="0" xfId="50"/>
    <xf borderId="0" fillId="26" fontId="68" numFmtId="164" pivotButton="0" quotePrefix="0" xfId="0"/>
    <xf borderId="0" fillId="26" fontId="68" numFmtId="38" pivotButton="0" quotePrefix="0" xfId="0"/>
    <xf applyAlignment="1" borderId="0" fillId="0" fontId="20" numFmtId="14" pivotButton="0" quotePrefix="0" xfId="0">
      <alignment vertical="center"/>
    </xf>
    <xf borderId="0" fillId="20" fontId="5" numFmtId="164" pivotButton="0" quotePrefix="0" xfId="0"/>
    <xf applyAlignment="1" borderId="0" fillId="0" fontId="69" numFmtId="165" pivotButton="0" quotePrefix="0" xfId="43">
      <alignment vertical="center"/>
    </xf>
    <xf borderId="0" fillId="31" fontId="5" numFmtId="164" pivotButton="0" quotePrefix="0" xfId="0"/>
    <xf borderId="0" fillId="21" fontId="5" numFmtId="164" pivotButton="0" quotePrefix="0" xfId="0"/>
    <xf borderId="0" fillId="21" fontId="5" numFmtId="165" pivotButton="0" quotePrefix="0" xfId="43"/>
    <xf borderId="0" fillId="28" fontId="18" numFmtId="164" pivotButton="0" quotePrefix="0" xfId="0"/>
    <xf borderId="0" fillId="28" fontId="5" numFmtId="164" pivotButton="0" quotePrefix="0" xfId="0"/>
    <xf borderId="0" fillId="28" fontId="5" numFmtId="165" pivotButton="0" quotePrefix="0" xfId="43"/>
    <xf borderId="0" fillId="20" fontId="5" numFmtId="165" pivotButton="0" quotePrefix="0" xfId="43"/>
    <xf borderId="0" fillId="0" fontId="55" numFmtId="165" pivotButton="0" quotePrefix="0" xfId="0"/>
    <xf borderId="0" fillId="20" fontId="16" numFmtId="165" pivotButton="0" quotePrefix="0" xfId="43"/>
    <xf applyAlignment="1" borderId="0" fillId="0" fontId="1" numFmtId="164" pivotButton="0" quotePrefix="0" xfId="0">
      <alignment horizontal="right"/>
    </xf>
    <xf borderId="0" fillId="0" fontId="5" numFmtId="165" pivotButton="0" quotePrefix="0" xfId="43"/>
    <xf borderId="0" fillId="0" fontId="56" numFmtId="165" pivotButton="0" quotePrefix="0" xfId="0"/>
    <xf borderId="0" fillId="0" fontId="71" numFmtId="165" pivotButton="0" quotePrefix="0" xfId="43"/>
    <xf borderId="0" fillId="0" fontId="1" numFmtId="164" pivotButton="0" quotePrefix="0" xfId="0"/>
    <xf borderId="0" fillId="0" fontId="22" numFmtId="38" pivotButton="0" quotePrefix="0" xfId="0"/>
    <xf borderId="54" fillId="3" fontId="55" numFmtId="164" pivotButton="0" quotePrefix="0" xfId="24"/>
    <xf applyAlignment="1" borderId="61" fillId="20" fontId="8" numFmtId="38" pivotButton="0" quotePrefix="0" xfId="15">
      <alignment vertical="center"/>
    </xf>
    <xf applyAlignment="1" borderId="28" fillId="2" fontId="8" numFmtId="38" pivotButton="0" quotePrefix="0" xfId="15">
      <alignment vertical="center"/>
    </xf>
    <xf applyAlignment="1" borderId="50" fillId="2" fontId="8" numFmtId="38" pivotButton="0" quotePrefix="0" xfId="15">
      <alignment vertical="center"/>
    </xf>
    <xf applyAlignment="1" borderId="0" fillId="18" fontId="21" numFmtId="165" pivotButton="0" quotePrefix="0" xfId="43">
      <alignment vertical="center"/>
    </xf>
    <xf borderId="0" fillId="0" fontId="72" numFmtId="165" pivotButton="0" quotePrefix="0" xfId="43"/>
    <xf borderId="0" fillId="3" fontId="5" numFmtId="164" pivotButton="0" quotePrefix="0" xfId="0"/>
    <xf borderId="0" fillId="0" fontId="56" numFmtId="165" pivotButton="0" quotePrefix="0" xfId="43"/>
    <xf borderId="40" fillId="0" fontId="0" numFmtId="164" pivotButton="0" quotePrefix="0" xfId="0"/>
    <xf borderId="0" fillId="0" fontId="73" numFmtId="174" pivotButton="0" quotePrefix="0" xfId="0"/>
    <xf borderId="0" fillId="0" fontId="73" numFmtId="177" pivotButton="0" quotePrefix="0" xfId="0"/>
    <xf borderId="0" fillId="0" fontId="75" numFmtId="177" pivotButton="0" quotePrefix="0" xfId="0"/>
    <xf borderId="0" fillId="0" fontId="73" numFmtId="174" pivotButton="0" quotePrefix="0" xfId="0"/>
    <xf applyAlignment="1" borderId="0" fillId="0" fontId="73" numFmtId="174" pivotButton="0" quotePrefix="0" xfId="0">
      <alignment horizontal="left"/>
    </xf>
    <xf applyAlignment="1" borderId="0" fillId="0" fontId="76" numFmtId="174" pivotButton="0" quotePrefix="0" xfId="0">
      <alignment shrinkToFit="1"/>
    </xf>
    <xf borderId="0" fillId="6" fontId="73" numFmtId="174" pivotButton="0" quotePrefix="0" xfId="0"/>
    <xf borderId="0" fillId="0" fontId="73" numFmtId="174" pivotButton="0" quotePrefix="0" xfId="0"/>
    <xf borderId="0" fillId="0" fontId="73" numFmtId="164" pivotButton="0" quotePrefix="0" xfId="0"/>
    <xf borderId="0" fillId="0" fontId="73" numFmtId="165" pivotButton="0" quotePrefix="0" xfId="43"/>
    <xf borderId="0" fillId="0" fontId="73" numFmtId="178" pivotButton="0" quotePrefix="0" xfId="0"/>
    <xf borderId="0" fillId="0" fontId="73" numFmtId="164" pivotButton="0" quotePrefix="0" xfId="0"/>
    <xf borderId="0" fillId="0" fontId="73" numFmtId="174" pivotButton="0" quotePrefix="0" xfId="0"/>
    <xf borderId="0" fillId="0" fontId="0" numFmtId="164" pivotButton="0" quotePrefix="0" xfId="0"/>
    <xf borderId="0" fillId="0" fontId="82" numFmtId="174" pivotButton="0" quotePrefix="0" xfId="0"/>
    <xf borderId="0" fillId="0" fontId="82" numFmtId="165" pivotButton="0" quotePrefix="0" xfId="43"/>
    <xf borderId="0" fillId="0" fontId="82" numFmtId="174" pivotButton="0" quotePrefix="0" xfId="0"/>
    <xf borderId="0" fillId="0" fontId="89" numFmtId="174" pivotButton="0" quotePrefix="0" xfId="0"/>
    <xf borderId="0" fillId="24" fontId="90" numFmtId="174" pivotButton="0" quotePrefix="0" xfId="0"/>
    <xf borderId="0" fillId="24" fontId="89" numFmtId="174" pivotButton="0" quotePrefix="0" xfId="0"/>
    <xf applyAlignment="1" borderId="0" fillId="24" fontId="89" numFmtId="174" pivotButton="0" quotePrefix="0" xfId="0">
      <alignment horizontal="left"/>
    </xf>
    <xf applyAlignment="1" borderId="0" fillId="24" fontId="91" numFmtId="174" pivotButton="0" quotePrefix="0" xfId="0">
      <alignment shrinkToFit="1"/>
    </xf>
    <xf applyAlignment="1" borderId="0" fillId="24" fontId="89" numFmtId="9" pivotButton="0" quotePrefix="0" xfId="16">
      <alignment horizontal="center"/>
    </xf>
    <xf borderId="0" fillId="0" fontId="89" numFmtId="174" pivotButton="0" quotePrefix="0" xfId="0"/>
    <xf borderId="0" fillId="0" fontId="92" numFmtId="174" pivotButton="0" quotePrefix="0" xfId="0"/>
    <xf borderId="0" fillId="11" fontId="93" numFmtId="174" pivotButton="0" quotePrefix="0" xfId="0"/>
    <xf borderId="0" fillId="11" fontId="92" numFmtId="174" pivotButton="0" quotePrefix="0" xfId="0"/>
    <xf applyAlignment="1" borderId="0" fillId="11" fontId="92" numFmtId="174" pivotButton="0" quotePrefix="0" xfId="0">
      <alignment horizontal="left"/>
    </xf>
    <xf applyAlignment="1" borderId="0" fillId="11" fontId="94" numFmtId="174" pivotButton="0" quotePrefix="0" xfId="0">
      <alignment shrinkToFit="1"/>
    </xf>
    <xf borderId="48" fillId="11" fontId="93" numFmtId="165" pivotButton="0" quotePrefix="0" xfId="32"/>
    <xf applyAlignment="1" borderId="0" fillId="11" fontId="92" numFmtId="9" pivotButton="0" quotePrefix="0" xfId="16">
      <alignment horizontal="center"/>
    </xf>
    <xf borderId="0" fillId="0" fontId="92" numFmtId="174" pivotButton="0" quotePrefix="0" xfId="0"/>
    <xf borderId="0" fillId="0" fontId="95" numFmtId="174" pivotButton="0" quotePrefix="0" xfId="0"/>
    <xf borderId="0" fillId="20" fontId="96" numFmtId="174" pivotButton="0" quotePrefix="0" xfId="0"/>
    <xf borderId="0" fillId="20" fontId="95" numFmtId="174" pivotButton="0" quotePrefix="0" xfId="0"/>
    <xf applyAlignment="1" borderId="0" fillId="20" fontId="95" numFmtId="174" pivotButton="0" quotePrefix="0" xfId="0">
      <alignment horizontal="left"/>
    </xf>
    <xf applyAlignment="1" borderId="0" fillId="20" fontId="97" numFmtId="174" pivotButton="0" quotePrefix="0" xfId="0">
      <alignment shrinkToFit="1"/>
    </xf>
    <xf borderId="48" fillId="20" fontId="96" numFmtId="165" pivotButton="0" quotePrefix="0" xfId="32"/>
    <xf applyAlignment="1" borderId="0" fillId="20" fontId="95" numFmtId="9" pivotButton="0" quotePrefix="0" xfId="16">
      <alignment horizontal="center"/>
    </xf>
    <xf borderId="0" fillId="0" fontId="95" numFmtId="174" pivotButton="0" quotePrefix="0" xfId="0"/>
    <xf borderId="3" fillId="0" fontId="82" numFmtId="174" pivotButton="0" quotePrefix="0" xfId="0"/>
    <xf borderId="3" fillId="22" fontId="73" numFmtId="174" pivotButton="0" quotePrefix="0" xfId="0"/>
    <xf applyAlignment="1" borderId="3" fillId="22" fontId="73" numFmtId="174" pivotButton="0" quotePrefix="0" xfId="0">
      <alignment horizontal="left"/>
    </xf>
    <xf applyAlignment="1" borderId="3" fillId="22" fontId="76" numFmtId="174" pivotButton="0" quotePrefix="0" xfId="0">
      <alignment shrinkToFit="1"/>
    </xf>
    <xf applyAlignment="1" borderId="3" fillId="22" fontId="81" numFmtId="174" pivotButton="0" quotePrefix="0" xfId="0">
      <alignment horizontal="center"/>
    </xf>
    <xf borderId="3" fillId="22" fontId="82" numFmtId="174" pivotButton="0" quotePrefix="0" xfId="0"/>
    <xf applyAlignment="1" borderId="0" fillId="0" fontId="73" numFmtId="164" pivotButton="0" quotePrefix="0" xfId="0">
      <alignment horizontal="left"/>
    </xf>
    <xf applyAlignment="1" borderId="0" fillId="0" fontId="76" numFmtId="164" pivotButton="0" quotePrefix="0" xfId="0">
      <alignment shrinkToFit="1"/>
    </xf>
    <xf borderId="0" fillId="0" fontId="98" numFmtId="177" pivotButton="0" quotePrefix="0" xfId="0"/>
    <xf applyAlignment="1" borderId="0" fillId="0" fontId="81" numFmtId="174" pivotButton="0" quotePrefix="0" xfId="0">
      <alignment horizontal="center"/>
    </xf>
    <xf borderId="0" fillId="36" fontId="77" numFmtId="174" pivotButton="0" quotePrefix="0" xfId="0"/>
    <xf borderId="0" fillId="0" fontId="82" numFmtId="164" pivotButton="0" quotePrefix="0" xfId="0"/>
    <xf applyAlignment="1" borderId="0" fillId="0" fontId="82" numFmtId="164" pivotButton="0" quotePrefix="0" xfId="0">
      <alignment horizontal="left"/>
    </xf>
    <xf applyAlignment="1" borderId="0" fillId="0" fontId="77" numFmtId="164" pivotButton="0" quotePrefix="0" xfId="0">
      <alignment shrinkToFit="1"/>
    </xf>
    <xf borderId="0" fillId="0" fontId="83" numFmtId="177" pivotButton="0" quotePrefix="0" xfId="0"/>
    <xf borderId="0" fillId="37" fontId="83" numFmtId="177" pivotButton="0" quotePrefix="0" xfId="0"/>
    <xf borderId="0" fillId="0" fontId="100" numFmtId="172" pivotButton="0" quotePrefix="0" xfId="61"/>
    <xf borderId="0" fillId="0" fontId="82" numFmtId="164" pivotButton="0" quotePrefix="0" xfId="0"/>
    <xf applyAlignment="1" borderId="0" fillId="0" fontId="82" numFmtId="164" pivotButton="0" quotePrefix="0" xfId="0">
      <alignment horizontal="left"/>
    </xf>
    <xf applyAlignment="1" borderId="0" fillId="0" fontId="77" numFmtId="164" pivotButton="0" quotePrefix="0" xfId="0">
      <alignment shrinkToFit="1"/>
    </xf>
    <xf borderId="0" fillId="0" fontId="82" numFmtId="177" pivotButton="0" quotePrefix="0" xfId="0"/>
    <xf applyAlignment="1" borderId="0" fillId="0" fontId="82" numFmtId="177" pivotButton="0" quotePrefix="0" xfId="0">
      <alignment horizontal="right"/>
    </xf>
    <xf applyAlignment="1" borderId="0" fillId="0" fontId="82" numFmtId="164" pivotButton="0" quotePrefix="0" xfId="0">
      <alignment horizontal="right"/>
    </xf>
    <xf borderId="0" fillId="0" fontId="82" numFmtId="165" pivotButton="0" quotePrefix="0" xfId="43"/>
    <xf applyAlignment="1" borderId="62" fillId="0" fontId="82" numFmtId="174" pivotButton="0" quotePrefix="0" xfId="0">
      <alignment horizontal="center"/>
    </xf>
    <xf applyAlignment="1" borderId="63" fillId="0" fontId="78" numFmtId="164" pivotButton="0" quotePrefix="0" xfId="0">
      <alignment shrinkToFit="1"/>
    </xf>
    <xf borderId="0" fillId="0" fontId="82" numFmtId="177" pivotButton="0" quotePrefix="0" xfId="0"/>
    <xf borderId="0" fillId="0" fontId="82" numFmtId="164" pivotButton="0" quotePrefix="0" xfId="0"/>
    <xf applyAlignment="1" borderId="0" fillId="0" fontId="73" numFmtId="164" pivotButton="0" quotePrefix="0" xfId="0">
      <alignment horizontal="right"/>
    </xf>
    <xf borderId="0" fillId="0" fontId="73" numFmtId="165" pivotButton="0" quotePrefix="0" xfId="43"/>
    <xf borderId="64" fillId="0" fontId="73" numFmtId="174" pivotButton="0" quotePrefix="0" xfId="0"/>
    <xf applyAlignment="1" borderId="0" fillId="0" fontId="76" numFmtId="164" pivotButton="0" quotePrefix="0" xfId="0">
      <alignment shrinkToFit="1"/>
    </xf>
    <xf borderId="66" fillId="0" fontId="73" numFmtId="174" pivotButton="0" quotePrefix="0" xfId="0"/>
    <xf applyAlignment="1" borderId="67" fillId="0" fontId="76" numFmtId="164" pivotButton="0" quotePrefix="0" xfId="0">
      <alignment shrinkToFit="1"/>
    </xf>
    <xf borderId="0" fillId="0" fontId="73" numFmtId="165" pivotButton="0" quotePrefix="0" xfId="32"/>
    <xf applyAlignment="1" borderId="0" fillId="0" fontId="73" numFmtId="164" pivotButton="0" quotePrefix="0" xfId="0">
      <alignment horizontal="left"/>
    </xf>
    <xf borderId="0" fillId="0" fontId="73" numFmtId="177" pivotButton="0" quotePrefix="0" xfId="0"/>
    <xf borderId="0" fillId="38" fontId="8" numFmtId="164" pivotButton="0" quotePrefix="0" xfId="0"/>
    <xf borderId="0" fillId="38" fontId="11" numFmtId="164" pivotButton="0" quotePrefix="0" xfId="0"/>
    <xf borderId="0" fillId="38" fontId="11" numFmtId="38" pivotButton="0" quotePrefix="0" xfId="0"/>
    <xf borderId="0" fillId="38" fontId="25" numFmtId="169" pivotButton="0" quotePrefix="0" xfId="0"/>
    <xf borderId="0" fillId="38" fontId="22" numFmtId="164" pivotButton="0" quotePrefix="0" xfId="0"/>
    <xf borderId="0" fillId="38" fontId="22" numFmtId="9" pivotButton="0" quotePrefix="0" xfId="50"/>
    <xf borderId="0" fillId="38" fontId="71" numFmtId="165" pivotButton="0" quotePrefix="0" xfId="43"/>
    <xf applyAlignment="1" borderId="0" fillId="0" fontId="22" numFmtId="164" pivotButton="0" quotePrefix="0" xfId="0">
      <alignment horizontal="right"/>
    </xf>
    <xf applyAlignment="1" borderId="0" fillId="0" fontId="53" numFmtId="173" pivotButton="0" quotePrefix="0" xfId="14">
      <alignment horizontal="center" vertical="center"/>
    </xf>
    <xf applyAlignment="1" borderId="7" fillId="0" fontId="73" numFmtId="174" pivotButton="0" quotePrefix="0" xfId="0">
      <alignment wrapText="1"/>
    </xf>
    <xf applyAlignment="1" borderId="48" fillId="0" fontId="86" numFmtId="174" pivotButton="0" quotePrefix="0" xfId="0">
      <alignment horizontal="center"/>
    </xf>
    <xf applyAlignment="1" borderId="54" fillId="35" fontId="88" numFmtId="174" pivotButton="0" quotePrefix="0" xfId="0">
      <alignment horizontal="center"/>
    </xf>
    <xf applyAlignment="1" borderId="54" fillId="35" fontId="88" numFmtId="174" pivotButton="0" quotePrefix="0" xfId="0">
      <alignment horizontal="left"/>
    </xf>
    <xf applyAlignment="1" borderId="54" fillId="35" fontId="77" numFmtId="174" pivotButton="0" quotePrefix="0" xfId="0">
      <alignment horizontal="center" shrinkToFit="1"/>
    </xf>
    <xf applyAlignment="1" borderId="54" fillId="35" fontId="77" numFmtId="178" pivotButton="0" quotePrefix="0" xfId="0">
      <alignment horizontal="center"/>
    </xf>
    <xf applyAlignment="1" borderId="54" fillId="35" fontId="88" numFmtId="178" pivotButton="0" quotePrefix="0" xfId="0">
      <alignment horizontal="center"/>
    </xf>
    <xf borderId="0" fillId="0" fontId="25" numFmtId="169" pivotButton="0" quotePrefix="0" xfId="0"/>
    <xf borderId="0" fillId="28" fontId="18" numFmtId="2" pivotButton="0" quotePrefix="0" xfId="0"/>
    <xf borderId="0" fillId="0" fontId="22" numFmtId="179" pivotButton="0" quotePrefix="0" xfId="0"/>
    <xf borderId="0" fillId="0" fontId="22" numFmtId="165" pivotButton="0" quotePrefix="0" xfId="43"/>
    <xf borderId="0" fillId="0" fontId="103" numFmtId="164" pivotButton="0" quotePrefix="0" xfId="0"/>
    <xf applyAlignment="1" borderId="0" fillId="0" fontId="104" numFmtId="164" pivotButton="0" quotePrefix="0" xfId="29">
      <alignment vertical="center"/>
    </xf>
    <xf applyAlignment="1" borderId="0" fillId="0" fontId="105" numFmtId="9" pivotButton="0" quotePrefix="0" xfId="42">
      <alignment vertical="center"/>
    </xf>
    <xf applyAlignment="1" borderId="0" fillId="0" fontId="104" numFmtId="172" pivotButton="0" quotePrefix="0" xfId="29">
      <alignment horizontal="center"/>
    </xf>
    <xf applyAlignment="1" borderId="0" fillId="0" fontId="104" numFmtId="9" pivotButton="0" quotePrefix="0" xfId="42">
      <alignment vertical="center"/>
    </xf>
    <xf applyAlignment="1" borderId="0" fillId="0" fontId="23" numFmtId="164" pivotButton="0" quotePrefix="0" xfId="29">
      <alignment vertical="center"/>
    </xf>
    <xf applyAlignment="1" borderId="80" fillId="0" fontId="104" numFmtId="172" pivotButton="0" quotePrefix="0" xfId="29">
      <alignment horizontal="center" vertical="center"/>
    </xf>
    <xf applyAlignment="1" borderId="12" fillId="41" fontId="106" numFmtId="172" pivotButton="0" quotePrefix="0" xfId="29">
      <alignment horizontal="center" vertical="center"/>
    </xf>
    <xf applyAlignment="1" borderId="13" fillId="41" fontId="107" numFmtId="164" pivotButton="0" quotePrefix="0" xfId="29">
      <alignment vertical="center"/>
    </xf>
    <xf applyAlignment="1" borderId="14" fillId="41" fontId="106" numFmtId="164" pivotButton="0" quotePrefix="0" xfId="29">
      <alignment horizontal="center" vertical="center"/>
    </xf>
    <xf applyAlignment="1" borderId="80" fillId="41" fontId="106" numFmtId="172" pivotButton="0" quotePrefix="0" xfId="29">
      <alignment horizontal="center" vertical="center"/>
    </xf>
    <xf applyAlignment="1" borderId="0" fillId="0" fontId="108" numFmtId="164" pivotButton="0" quotePrefix="0" xfId="29">
      <alignment vertical="center"/>
    </xf>
    <xf applyAlignment="1" borderId="80" fillId="0" fontId="105" numFmtId="171" pivotButton="0" quotePrefix="0" xfId="29">
      <alignment horizontal="center" vertical="center" wrapText="1"/>
    </xf>
    <xf applyAlignment="1" borderId="70" fillId="42" fontId="104" numFmtId="172" pivotButton="0" quotePrefix="0" xfId="29">
      <alignment horizontal="center" vertical="center"/>
    </xf>
    <xf applyAlignment="1" borderId="76" fillId="43" fontId="104" numFmtId="172" pivotButton="0" quotePrefix="0" xfId="29">
      <alignment horizontal="center" vertical="center"/>
    </xf>
    <xf applyAlignment="1" borderId="82" fillId="44" fontId="104" numFmtId="164" pivotButton="0" quotePrefix="0" xfId="29">
      <alignment horizontal="center" vertical="center"/>
    </xf>
    <xf borderId="70" fillId="0" fontId="105" numFmtId="172" pivotButton="0" quotePrefix="0" xfId="61"/>
    <xf borderId="80" fillId="0" fontId="105" numFmtId="172" pivotButton="0" quotePrefix="0" xfId="29"/>
    <xf borderId="70" fillId="0" fontId="105" numFmtId="172" pivotButton="0" quotePrefix="0" xfId="29"/>
    <xf borderId="76" fillId="0" fontId="105" numFmtId="172" pivotButton="0" quotePrefix="0" xfId="29"/>
    <xf borderId="82" fillId="0" fontId="105" numFmtId="172" pivotButton="0" quotePrefix="0" xfId="29"/>
    <xf applyAlignment="1" borderId="0" fillId="0" fontId="108" numFmtId="9" pivotButton="0" quotePrefix="0" xfId="50">
      <alignment vertical="center"/>
    </xf>
    <xf applyAlignment="1" borderId="0" fillId="0" fontId="108" numFmtId="9" pivotButton="0" quotePrefix="0" xfId="50">
      <alignment vertical="center"/>
    </xf>
    <xf borderId="70" fillId="0" fontId="109" numFmtId="172" pivotButton="0" quotePrefix="0" xfId="61"/>
    <xf applyAlignment="1" borderId="73" fillId="43" fontId="104" numFmtId="165" pivotButton="0" quotePrefix="0" xfId="14">
      <alignment horizontal="left" vertical="center"/>
    </xf>
    <xf applyAlignment="1" borderId="80" fillId="0" fontId="104" numFmtId="165" pivotButton="0" quotePrefix="0" xfId="14">
      <alignment horizontal="center" vertical="center"/>
    </xf>
    <xf applyAlignment="1" borderId="73" fillId="43" fontId="104" numFmtId="165" pivotButton="0" quotePrefix="0" xfId="14">
      <alignment horizontal="center" vertical="center"/>
    </xf>
    <xf applyAlignment="1" borderId="74" fillId="43" fontId="104" numFmtId="165" pivotButton="0" quotePrefix="0" xfId="14">
      <alignment horizontal="center" vertical="center"/>
    </xf>
    <xf applyAlignment="1" borderId="83" fillId="43" fontId="104" numFmtId="165" pivotButton="0" quotePrefix="0" xfId="14">
      <alignment horizontal="center" vertical="center"/>
    </xf>
    <xf applyAlignment="1" borderId="0" fillId="0" fontId="108" numFmtId="10" pivotButton="0" quotePrefix="0" xfId="29">
      <alignment vertical="center"/>
    </xf>
    <xf applyAlignment="1" borderId="0" fillId="0" fontId="104" numFmtId="164" pivotButton="0" quotePrefix="0" xfId="29">
      <alignment horizontal="right" vertical="center"/>
    </xf>
    <xf applyAlignment="1" borderId="0" fillId="0" fontId="105" numFmtId="9" pivotButton="0" quotePrefix="0" xfId="42">
      <alignment horizontal="right" vertical="center"/>
    </xf>
    <xf applyAlignment="1" borderId="0" fillId="0" fontId="105" numFmtId="172" pivotButton="0" quotePrefix="0" xfId="29">
      <alignment horizontal="right"/>
    </xf>
    <xf applyAlignment="1" borderId="0" fillId="0" fontId="23" numFmtId="164" pivotButton="0" quotePrefix="0" xfId="29">
      <alignment horizontal="right" vertical="center"/>
    </xf>
    <xf applyAlignment="1" borderId="12" fillId="45" fontId="106" numFmtId="172" pivotButton="0" quotePrefix="0" xfId="29">
      <alignment horizontal="center" vertical="center"/>
    </xf>
    <xf applyAlignment="1" borderId="13" fillId="45" fontId="107" numFmtId="164" pivotButton="0" quotePrefix="0" xfId="29">
      <alignment vertical="center"/>
    </xf>
    <xf applyAlignment="1" borderId="14" fillId="45" fontId="106" numFmtId="164" pivotButton="0" quotePrefix="0" xfId="29">
      <alignment horizontal="center" vertical="center"/>
    </xf>
    <xf applyAlignment="1" borderId="80" fillId="45" fontId="106" numFmtId="172" pivotButton="0" quotePrefix="0" xfId="29">
      <alignment horizontal="center" vertical="center"/>
    </xf>
    <xf applyAlignment="1" borderId="84" fillId="45" fontId="106" numFmtId="172" pivotButton="0" quotePrefix="0" xfId="29">
      <alignment horizontal="center" vertical="center"/>
    </xf>
    <xf applyAlignment="1" borderId="18" fillId="45" fontId="107" numFmtId="164" pivotButton="0" quotePrefix="0" xfId="29">
      <alignment vertical="center"/>
    </xf>
    <xf applyAlignment="1" borderId="33" fillId="45" fontId="106" numFmtId="164" pivotButton="0" quotePrefix="0" xfId="29">
      <alignment horizontal="center" vertical="center"/>
    </xf>
    <xf applyAlignment="1" borderId="0" fillId="0" fontId="53" numFmtId="165" pivotButton="0" quotePrefix="0" xfId="29">
      <alignment vertical="center"/>
    </xf>
    <xf applyAlignment="1" borderId="0" fillId="0" fontId="53" numFmtId="164" pivotButton="0" quotePrefix="0" xfId="29">
      <alignment vertical="center"/>
    </xf>
    <xf applyAlignment="1" borderId="0" fillId="0" fontId="108" numFmtId="171" pivotButton="0" quotePrefix="0" xfId="29">
      <alignment vertical="center" wrapText="1"/>
    </xf>
    <xf applyAlignment="1" borderId="0" fillId="0" fontId="108" numFmtId="9" pivotButton="0" quotePrefix="0" xfId="29">
      <alignment vertical="center"/>
    </xf>
    <xf applyAlignment="1" borderId="0" fillId="0" fontId="108" numFmtId="165" pivotButton="0" quotePrefix="0" xfId="43">
      <alignment vertical="center"/>
    </xf>
    <xf applyAlignment="1" borderId="0" fillId="0" fontId="108" numFmtId="172" pivotButton="0" quotePrefix="0" xfId="29">
      <alignment vertical="center"/>
    </xf>
    <xf applyAlignment="1" borderId="82" fillId="0" fontId="105" numFmtId="164" pivotButton="0" quotePrefix="0" xfId="29">
      <alignment vertical="center"/>
    </xf>
    <xf applyAlignment="1" borderId="76" fillId="0" fontId="105" numFmtId="164" pivotButton="0" quotePrefix="0" xfId="29">
      <alignment vertical="center"/>
    </xf>
    <xf applyAlignment="1" borderId="0" fillId="0" fontId="53" numFmtId="165" pivotButton="0" quotePrefix="0" xfId="43">
      <alignment vertical="center"/>
    </xf>
    <xf borderId="70" fillId="28" fontId="109" numFmtId="172" pivotButton="0" quotePrefix="0" xfId="61"/>
    <xf borderId="80" fillId="28" fontId="105" numFmtId="172" pivotButton="0" quotePrefix="0" xfId="29"/>
    <xf borderId="70" fillId="28" fontId="105" numFmtId="172" pivotButton="0" quotePrefix="0" xfId="29"/>
    <xf borderId="76" fillId="28" fontId="105" numFmtId="172" pivotButton="0" quotePrefix="0" xfId="29"/>
    <xf borderId="82" fillId="28" fontId="105" numFmtId="172" pivotButton="0" quotePrefix="0" xfId="29"/>
    <xf borderId="85" fillId="0" fontId="105" numFmtId="172" pivotButton="0" quotePrefix="0" xfId="29"/>
    <xf applyAlignment="1" borderId="73" fillId="45" fontId="106" numFmtId="165" pivotButton="0" quotePrefix="0" xfId="14">
      <alignment horizontal="center" vertical="center"/>
    </xf>
    <xf applyAlignment="1" borderId="80" fillId="0" fontId="105" numFmtId="165" pivotButton="0" quotePrefix="0" xfId="14">
      <alignment horizontal="center" vertical="center"/>
    </xf>
    <xf applyAlignment="1" borderId="73" fillId="46" fontId="105" numFmtId="165" pivotButton="0" quotePrefix="0" xfId="14">
      <alignment horizontal="center" vertical="center"/>
    </xf>
    <xf applyAlignment="1" borderId="74" fillId="46" fontId="105" numFmtId="165" pivotButton="0" quotePrefix="0" xfId="14">
      <alignment horizontal="center" vertical="center"/>
    </xf>
    <xf applyAlignment="1" borderId="83" fillId="46" fontId="105" numFmtId="165" pivotButton="0" quotePrefix="0" xfId="14">
      <alignment horizontal="center" vertical="center"/>
    </xf>
    <xf applyAlignment="1" borderId="0" fillId="0" fontId="108" numFmtId="165" pivotButton="0" quotePrefix="0" xfId="14">
      <alignment horizontal="center" vertical="center"/>
    </xf>
    <xf applyAlignment="1" borderId="12" fillId="47" fontId="106" numFmtId="172" pivotButton="0" quotePrefix="0" xfId="29">
      <alignment horizontal="center" vertical="center"/>
    </xf>
    <xf applyAlignment="1" borderId="13" fillId="47" fontId="107" numFmtId="164" pivotButton="0" quotePrefix="0" xfId="29">
      <alignment vertical="center"/>
    </xf>
    <xf applyAlignment="1" borderId="14" fillId="47" fontId="106" numFmtId="164" pivotButton="0" quotePrefix="0" xfId="29">
      <alignment horizontal="center" vertical="center"/>
    </xf>
    <xf applyAlignment="1" borderId="80" fillId="47" fontId="106" numFmtId="172" pivotButton="0" quotePrefix="0" xfId="29">
      <alignment horizontal="center" vertical="center"/>
    </xf>
    <xf borderId="17" fillId="0" fontId="105" numFmtId="172" pivotButton="0" quotePrefix="0" xfId="61"/>
    <xf borderId="17" fillId="28" fontId="109" numFmtId="172" pivotButton="0" quotePrefix="0" xfId="61"/>
    <xf applyAlignment="1" borderId="17" fillId="47" fontId="106" numFmtId="165" pivotButton="0" quotePrefix="0" xfId="14">
      <alignment horizontal="center" vertical="center"/>
    </xf>
    <xf applyAlignment="1" borderId="0" fillId="0" fontId="104" numFmtId="165" pivotButton="0" quotePrefix="0" xfId="14">
      <alignment horizontal="center" vertical="center"/>
    </xf>
    <xf applyAlignment="1" borderId="0" fillId="0" fontId="105" numFmtId="165" pivotButton="0" quotePrefix="0" xfId="14">
      <alignment horizontal="center" vertical="center"/>
    </xf>
    <xf applyAlignment="1" borderId="0" fillId="0" fontId="108" numFmtId="165" pivotButton="0" quotePrefix="0" xfId="14">
      <alignment horizontal="center" vertical="center"/>
    </xf>
    <xf applyAlignment="1" borderId="0" fillId="0" fontId="108" numFmtId="164" pivotButton="0" quotePrefix="0" xfId="29">
      <alignment vertical="center"/>
    </xf>
    <xf applyAlignment="1" borderId="0" fillId="0" fontId="105" numFmtId="164" pivotButton="0" quotePrefix="0" xfId="29">
      <alignment vertical="center"/>
    </xf>
    <xf borderId="11" fillId="0" fontId="105" numFmtId="172" pivotButton="0" quotePrefix="0" xfId="29"/>
    <xf borderId="85" fillId="28" fontId="105" numFmtId="172" pivotButton="0" quotePrefix="0" xfId="29"/>
    <xf borderId="10" fillId="28" fontId="105" numFmtId="172" pivotButton="0" quotePrefix="0" xfId="29"/>
    <xf applyAlignment="1" borderId="86" fillId="46" fontId="105" numFmtId="165" pivotButton="0" quotePrefix="0" xfId="14">
      <alignment horizontal="center" vertical="center"/>
    </xf>
    <xf borderId="85" fillId="18" fontId="105" numFmtId="172" pivotButton="0" quotePrefix="0" xfId="29"/>
    <xf borderId="76" fillId="18" fontId="105" numFmtId="172" pivotButton="0" quotePrefix="0" xfId="29"/>
    <xf borderId="10" fillId="18" fontId="105" numFmtId="172" pivotButton="0" quotePrefix="0" xfId="29"/>
    <xf applyAlignment="1" borderId="0" fillId="0" fontId="108" numFmtId="10" pivotButton="0" quotePrefix="0" xfId="29">
      <alignment vertical="center"/>
    </xf>
    <xf applyAlignment="1" borderId="0" fillId="0" fontId="108" numFmtId="165" pivotButton="0" quotePrefix="0" xfId="14">
      <alignment horizontal="center" vertical="center"/>
    </xf>
    <xf borderId="87" fillId="0" fontId="105" numFmtId="172" pivotButton="0" quotePrefix="0" xfId="29"/>
    <xf borderId="88" fillId="0" fontId="105" numFmtId="172" pivotButton="0" quotePrefix="0" xfId="29"/>
    <xf borderId="69" fillId="0" fontId="105" numFmtId="172" pivotButton="0" quotePrefix="0" xfId="29"/>
    <xf borderId="77" fillId="0" fontId="105" numFmtId="172" pivotButton="0" quotePrefix="0" xfId="29"/>
    <xf borderId="78" fillId="0" fontId="105" numFmtId="172" pivotButton="0" quotePrefix="0" xfId="29"/>
    <xf applyAlignment="1" borderId="90" fillId="46" fontId="105" numFmtId="165" pivotButton="0" quotePrefix="0" xfId="14">
      <alignment horizontal="center" vertical="center"/>
    </xf>
    <xf applyAlignment="1" borderId="91" fillId="46" fontId="105" numFmtId="165" pivotButton="0" quotePrefix="0" xfId="14">
      <alignment horizontal="center" vertical="center"/>
    </xf>
    <xf applyAlignment="1" borderId="15" fillId="46" fontId="105" numFmtId="165" pivotButton="0" quotePrefix="0" xfId="14">
      <alignment horizontal="center" vertical="center"/>
    </xf>
    <xf borderId="89" fillId="0" fontId="105" numFmtId="10" pivotButton="0" quotePrefix="0" xfId="29"/>
    <xf borderId="0" fillId="0" fontId="105" numFmtId="10" pivotButton="0" quotePrefix="0" xfId="29"/>
    <xf borderId="82" fillId="0" fontId="105" numFmtId="10" pivotButton="0" quotePrefix="0" xfId="29"/>
    <xf applyAlignment="1" borderId="0" fillId="0" fontId="105" numFmtId="165" pivotButton="0" quotePrefix="0" xfId="14">
      <alignment horizontal="left"/>
    </xf>
    <xf applyAlignment="1" borderId="0" fillId="0" fontId="106" numFmtId="165" pivotButton="0" quotePrefix="0" xfId="14">
      <alignment horizontal="center" vertical="center"/>
    </xf>
    <xf borderId="10" fillId="0" fontId="105" numFmtId="10" pivotButton="0" quotePrefix="0" xfId="29"/>
    <xf borderId="76" fillId="0" fontId="105" numFmtId="10" pivotButton="0" quotePrefix="0" xfId="29"/>
    <xf borderId="11" fillId="18" fontId="105" numFmtId="172" pivotButton="0" quotePrefix="0" xfId="29"/>
    <xf borderId="89" fillId="18" fontId="105" numFmtId="172" pivotButton="0" quotePrefix="0" xfId="29"/>
    <xf borderId="85" fillId="0" fontId="105" numFmtId="10" pivotButton="0" quotePrefix="0" xfId="29"/>
    <xf borderId="17" fillId="0" fontId="105" numFmtId="10" pivotButton="0" quotePrefix="0" xfId="29"/>
    <xf borderId="17" fillId="28" fontId="105" numFmtId="172" pivotButton="0" quotePrefix="0" xfId="29"/>
    <xf applyAlignment="1" borderId="78" fillId="48" fontId="111" numFmtId="168" pivotButton="0" quotePrefix="0" xfId="29">
      <alignment vertical="center"/>
    </xf>
    <xf applyAlignment="1" borderId="63" fillId="0" fontId="105" numFmtId="164" pivotButton="0" quotePrefix="0" xfId="29">
      <alignment vertical="center"/>
    </xf>
    <xf borderId="17" fillId="0" fontId="105" numFmtId="172" pivotButton="0" quotePrefix="0" xfId="29"/>
    <xf borderId="10" fillId="0" fontId="105" numFmtId="172" pivotButton="0" quotePrefix="0" xfId="29"/>
    <xf borderId="89" fillId="0" fontId="105" numFmtId="172" pivotButton="0" quotePrefix="0" xfId="29"/>
    <xf applyAlignment="1" borderId="12" fillId="48" fontId="106" numFmtId="172" pivotButton="0" quotePrefix="0" xfId="29">
      <alignment horizontal="center" vertical="center"/>
    </xf>
    <xf applyAlignment="1" borderId="13" fillId="48" fontId="107" numFmtId="164" pivotButton="0" quotePrefix="0" xfId="29">
      <alignment vertical="center"/>
    </xf>
    <xf applyAlignment="1" borderId="14" fillId="48" fontId="106" numFmtId="164" pivotButton="0" quotePrefix="0" xfId="29">
      <alignment horizontal="center" vertical="center"/>
    </xf>
    <xf applyAlignment="1" borderId="80" fillId="48" fontId="106" numFmtId="172" pivotButton="0" quotePrefix="0" xfId="29">
      <alignment horizontal="center" vertical="center"/>
    </xf>
    <xf borderId="0" fillId="0" fontId="105" numFmtId="172" pivotButton="0" quotePrefix="0" xfId="29"/>
    <xf applyAlignment="1" borderId="65" fillId="41" fontId="106" numFmtId="164" pivotButton="0" quotePrefix="0" xfId="29">
      <alignment horizontal="center" vertical="center"/>
    </xf>
    <xf borderId="65" fillId="0" fontId="105" numFmtId="172" pivotButton="0" quotePrefix="0" xfId="29"/>
    <xf borderId="65" fillId="28" fontId="105" numFmtId="172" pivotButton="0" quotePrefix="0" xfId="29"/>
    <xf applyAlignment="1" borderId="65" fillId="45" fontId="106" numFmtId="164" pivotButton="0" quotePrefix="0" xfId="29">
      <alignment horizontal="center" vertical="center"/>
    </xf>
    <xf applyAlignment="1" borderId="65" fillId="47" fontId="106" numFmtId="164" pivotButton="0" quotePrefix="0" xfId="29">
      <alignment horizontal="center" vertical="center"/>
    </xf>
    <xf applyAlignment="1" borderId="10" fillId="42" fontId="104" numFmtId="172" pivotButton="0" quotePrefix="0" xfId="29">
      <alignment horizontal="center" vertical="center"/>
    </xf>
    <xf applyAlignment="1" borderId="91" fillId="43" fontId="104" numFmtId="165" pivotButton="0" quotePrefix="0" xfId="14">
      <alignment horizontal="center" vertical="center"/>
    </xf>
    <xf applyAlignment="1" borderId="13" fillId="41" fontId="106" numFmtId="164" pivotButton="0" quotePrefix="0" xfId="29">
      <alignment horizontal="center" vertical="center"/>
    </xf>
    <xf applyAlignment="1" borderId="76" fillId="44" fontId="104" numFmtId="164" pivotButton="0" quotePrefix="0" xfId="29">
      <alignment horizontal="center" vertical="center"/>
    </xf>
    <xf applyAlignment="1" borderId="15" fillId="43" fontId="104" numFmtId="165" pivotButton="0" quotePrefix="0" xfId="14">
      <alignment horizontal="center" vertical="center"/>
    </xf>
    <xf applyAlignment="1" borderId="7" fillId="41" fontId="106" numFmtId="164" pivotButton="0" quotePrefix="0" xfId="29">
      <alignment horizontal="center" vertical="center"/>
    </xf>
    <xf applyAlignment="1" borderId="0" fillId="41" fontId="106" numFmtId="164" pivotButton="0" quotePrefix="0" xfId="29">
      <alignment horizontal="center" vertical="center"/>
    </xf>
    <xf applyAlignment="1" borderId="54" fillId="41" fontId="106" numFmtId="164" pivotButton="0" quotePrefix="0" xfId="29">
      <alignment horizontal="center" vertical="center"/>
    </xf>
    <xf applyAlignment="1" borderId="5" fillId="41" fontId="106" numFmtId="164" pivotButton="0" quotePrefix="0" xfId="29">
      <alignment horizontal="center" vertical="center"/>
    </xf>
    <xf borderId="48" fillId="0" fontId="105" numFmtId="172" pivotButton="0" quotePrefix="0" xfId="29"/>
    <xf borderId="48" fillId="28" fontId="105" numFmtId="172" pivotButton="0" quotePrefix="0" xfId="29"/>
    <xf applyAlignment="1" borderId="76" fillId="42" fontId="104" numFmtId="172" pivotButton="0" quotePrefix="0" xfId="29">
      <alignment horizontal="center" vertical="center"/>
    </xf>
    <xf applyAlignment="1" borderId="93" fillId="44" fontId="104" numFmtId="164" pivotButton="0" quotePrefix="0" xfId="29">
      <alignment horizontal="center" vertical="center"/>
    </xf>
    <xf applyAlignment="1" borderId="65" fillId="0" fontId="104" numFmtId="165" pivotButton="0" quotePrefix="0" xfId="14">
      <alignment horizontal="center" vertical="center"/>
    </xf>
    <xf borderId="72" fillId="0" fontId="105" numFmtId="172" pivotButton="0" quotePrefix="0" xfId="29"/>
    <xf applyAlignment="1" borderId="67" fillId="0" fontId="104" numFmtId="164" pivotButton="0" quotePrefix="0" xfId="29">
      <alignment vertical="center"/>
    </xf>
    <xf borderId="75" fillId="28" fontId="109" numFmtId="172" pivotButton="0" quotePrefix="0" xfId="61"/>
    <xf borderId="75" fillId="28" fontId="105" numFmtId="172" pivotButton="0" quotePrefix="0" xfId="29"/>
    <xf borderId="54" fillId="28" fontId="105" numFmtId="172" pivotButton="0" quotePrefix="0" xfId="29"/>
    <xf borderId="4" fillId="28" fontId="105" numFmtId="172" pivotButton="0" quotePrefix="0" xfId="29"/>
    <xf borderId="89" fillId="0" fontId="105" numFmtId="172" pivotButton="0" quotePrefix="0" xfId="61"/>
    <xf borderId="81" fillId="0" fontId="105" numFmtId="172" pivotButton="0" quotePrefix="0" xfId="29"/>
    <xf borderId="54" fillId="0" fontId="105" numFmtId="172" pivotButton="0" quotePrefix="0" xfId="29"/>
    <xf borderId="71" fillId="0" fontId="105" numFmtId="172" pivotButton="0" quotePrefix="0" xfId="29"/>
    <xf borderId="49" fillId="0" fontId="105" numFmtId="172" pivotButton="0" quotePrefix="0" xfId="29"/>
    <xf borderId="17" fillId="18" fontId="105" numFmtId="172" pivotButton="0" quotePrefix="0" xfId="29"/>
    <xf borderId="94" fillId="0" fontId="105" numFmtId="172" pivotButton="0" quotePrefix="0" xfId="29"/>
    <xf applyAlignment="1" borderId="95" fillId="46" fontId="105" numFmtId="165" pivotButton="0" quotePrefix="0" xfId="14">
      <alignment horizontal="center" vertical="center"/>
    </xf>
    <xf borderId="82" fillId="18" fontId="105" numFmtId="172" pivotButton="0" quotePrefix="0" xfId="29"/>
    <xf applyAlignment="1" borderId="67" fillId="0" fontId="105" numFmtId="172" pivotButton="0" quotePrefix="0" xfId="29">
      <alignment horizontal="right"/>
    </xf>
    <xf applyAlignment="1" borderId="97" fillId="45" fontId="106" numFmtId="172" pivotButton="0" quotePrefix="0" xfId="29">
      <alignment horizontal="center" vertical="center"/>
    </xf>
    <xf applyAlignment="1" borderId="13" fillId="45" fontId="106" numFmtId="172" pivotButton="0" quotePrefix="0" xfId="29">
      <alignment horizontal="center" vertical="center"/>
    </xf>
    <xf applyAlignment="1" borderId="98" fillId="45" fontId="106" numFmtId="172" pivotButton="0" quotePrefix="0" xfId="29">
      <alignment horizontal="center" vertical="center"/>
    </xf>
    <xf borderId="93" fillId="28" fontId="105" numFmtId="172" pivotButton="0" quotePrefix="0" xfId="29"/>
    <xf applyAlignment="1" borderId="71" fillId="47" fontId="106" numFmtId="164" pivotButton="0" quotePrefix="0" xfId="29">
      <alignment horizontal="center" vertical="center"/>
    </xf>
    <xf applyAlignment="1" borderId="5" fillId="47" fontId="106" numFmtId="164" pivotButton="0" quotePrefix="0" xfId="29">
      <alignment horizontal="center" vertical="center"/>
    </xf>
    <xf applyAlignment="1" borderId="0" fillId="47" fontId="106" numFmtId="164" pivotButton="0" quotePrefix="0" xfId="29">
      <alignment horizontal="center" vertical="center"/>
    </xf>
    <xf applyAlignment="1" borderId="54" fillId="47" fontId="106" numFmtId="164" pivotButton="0" quotePrefix="0" xfId="29">
      <alignment horizontal="center" vertical="center"/>
    </xf>
    <xf applyAlignment="1" borderId="67" fillId="0" fontId="104" numFmtId="172" pivotButton="0" quotePrefix="0" xfId="29">
      <alignment horizontal="center"/>
    </xf>
    <xf applyAlignment="1" borderId="0" fillId="48" fontId="106" numFmtId="164" pivotButton="0" quotePrefix="0" xfId="29">
      <alignment horizontal="center" vertical="center"/>
    </xf>
    <xf applyAlignment="1" borderId="71" fillId="48" fontId="106" numFmtId="164" pivotButton="0" quotePrefix="0" xfId="29">
      <alignment horizontal="center" vertical="center"/>
    </xf>
    <xf applyAlignment="1" borderId="5" fillId="48" fontId="106" numFmtId="164" pivotButton="0" quotePrefix="0" xfId="29">
      <alignment horizontal="center" vertical="center"/>
    </xf>
    <xf applyAlignment="1" borderId="54" fillId="48" fontId="106" numFmtId="164" pivotButton="0" quotePrefix="0" xfId="29">
      <alignment horizontal="center" vertical="center"/>
    </xf>
    <xf applyAlignment="1" borderId="67" fillId="0" fontId="105" numFmtId="165" pivotButton="0" quotePrefix="0" xfId="14">
      <alignment horizontal="center" vertical="center"/>
    </xf>
    <xf borderId="101" fillId="0" fontId="105" numFmtId="172" pivotButton="0" quotePrefix="0" xfId="29"/>
    <xf applyAlignment="1" borderId="67" fillId="0" fontId="104" numFmtId="9" pivotButton="0" quotePrefix="0" xfId="42">
      <alignment vertical="center"/>
    </xf>
    <xf applyAlignment="1" borderId="100" fillId="41" fontId="106" numFmtId="164" pivotButton="0" quotePrefix="0" xfId="29">
      <alignment horizontal="center" vertical="center"/>
    </xf>
    <xf applyAlignment="1" borderId="7" fillId="45" fontId="106" numFmtId="164" pivotButton="0" quotePrefix="0" xfId="29">
      <alignment horizontal="center" vertical="center"/>
    </xf>
    <xf borderId="7" fillId="0" fontId="105" numFmtId="172" pivotButton="0" quotePrefix="0" xfId="29"/>
    <xf borderId="7" fillId="28" fontId="105" numFmtId="172" pivotButton="0" quotePrefix="0" xfId="29"/>
    <xf applyAlignment="1" borderId="48" fillId="45" fontId="106" numFmtId="164" pivotButton="0" quotePrefix="0" xfId="29">
      <alignment horizontal="center" vertical="center"/>
    </xf>
    <xf applyAlignment="1" borderId="13" fillId="45" fontId="106" numFmtId="164" pivotButton="0" quotePrefix="0" xfId="29">
      <alignment horizontal="center" vertical="center"/>
    </xf>
    <xf applyAlignment="1" borderId="65" fillId="0" fontId="105" numFmtId="171" pivotButton="0" quotePrefix="0" xfId="29">
      <alignment horizontal="center" vertical="center" wrapText="1"/>
    </xf>
    <xf applyAlignment="1" borderId="65" fillId="0" fontId="105" numFmtId="165" pivotButton="0" quotePrefix="0" xfId="14">
      <alignment horizontal="center" vertical="center"/>
    </xf>
    <xf borderId="72" fillId="28" fontId="105" numFmtId="172" pivotButton="0" quotePrefix="0" xfId="29"/>
    <xf applyAlignment="1" borderId="0" fillId="45" fontId="106" numFmtId="164" pivotButton="0" quotePrefix="0" xfId="29">
      <alignment horizontal="center" vertical="center"/>
    </xf>
    <xf applyAlignment="1" borderId="92" fillId="41" fontId="106" numFmtId="164" pivotButton="0" quotePrefix="0" xfId="29">
      <alignment horizontal="center" vertical="center"/>
    </xf>
    <xf applyAlignment="1" borderId="65" fillId="0" fontId="104" numFmtId="172" pivotButton="0" quotePrefix="0" xfId="29">
      <alignment horizontal="center" vertical="center"/>
    </xf>
    <xf applyAlignment="1" borderId="102" fillId="41" fontId="106" numFmtId="164" pivotButton="0" quotePrefix="0" xfId="29">
      <alignment horizontal="center" vertical="center"/>
    </xf>
    <xf applyAlignment="1" borderId="103" fillId="41" fontId="106" numFmtId="164" pivotButton="0" quotePrefix="0" xfId="29">
      <alignment horizontal="center" vertical="center"/>
    </xf>
    <xf borderId="11" fillId="0" fontId="105" numFmtId="10" pivotButton="0" quotePrefix="0" xfId="29"/>
    <xf applyAlignment="1" borderId="100" fillId="47" fontId="106" numFmtId="164" pivotButton="0" quotePrefix="0" xfId="29">
      <alignment horizontal="center" vertical="center"/>
    </xf>
    <xf applyAlignment="1" borderId="13" fillId="47" fontId="106" numFmtId="164" pivotButton="0" quotePrefix="0" xfId="29">
      <alignment horizontal="center" vertical="center"/>
    </xf>
    <xf applyAlignment="1" borderId="67" fillId="0" fontId="105" numFmtId="9" pivotButton="0" quotePrefix="0" xfId="42">
      <alignment vertical="center"/>
    </xf>
    <xf applyAlignment="1" borderId="13" fillId="48" fontId="106" numFmtId="164" pivotButton="0" quotePrefix="0" xfId="29">
      <alignment horizontal="center" vertical="center"/>
    </xf>
    <xf applyAlignment="1" borderId="104" fillId="46" fontId="105" numFmtId="165" pivotButton="0" quotePrefix="0" xfId="14">
      <alignment horizontal="center" vertical="center"/>
    </xf>
    <xf applyAlignment="1" borderId="105" fillId="46" fontId="105" numFmtId="165" pivotButton="0" quotePrefix="0" xfId="14">
      <alignment horizontal="center" vertical="center"/>
    </xf>
    <xf applyAlignment="1" borderId="106" fillId="46" fontId="105" numFmtId="165" pivotButton="0" quotePrefix="0" xfId="14">
      <alignment horizontal="center" vertical="center"/>
    </xf>
    <xf applyAlignment="1" borderId="107" fillId="46" fontId="105" numFmtId="165" pivotButton="0" quotePrefix="0" xfId="14">
      <alignment horizontal="center" vertical="center"/>
    </xf>
    <xf borderId="93" fillId="0" fontId="105" numFmtId="172" pivotButton="0" quotePrefix="0" xfId="29"/>
    <xf borderId="93" fillId="0" fontId="105" numFmtId="10" pivotButton="0" quotePrefix="0" xfId="29"/>
    <xf applyAlignment="1" borderId="108" fillId="43" fontId="104" numFmtId="165" pivotButton="0" quotePrefix="0" xfId="14">
      <alignment horizontal="center" vertical="center"/>
    </xf>
    <xf borderId="0" fillId="50" fontId="112" numFmtId="165" pivotButton="0" quotePrefix="0" xfId="0"/>
    <xf applyAlignment="1" borderId="109" fillId="35" fontId="88" numFmtId="174" pivotButton="0" quotePrefix="0" xfId="0">
      <alignment horizontal="center"/>
    </xf>
    <xf applyAlignment="1" borderId="109" fillId="35" fontId="88" numFmtId="174" pivotButton="0" quotePrefix="0" xfId="0">
      <alignment horizontal="left"/>
    </xf>
    <xf applyAlignment="1" borderId="109" fillId="35" fontId="77" numFmtId="174" pivotButton="0" quotePrefix="0" xfId="0">
      <alignment horizontal="center" shrinkToFit="1"/>
    </xf>
    <xf borderId="111" fillId="24" fontId="90" numFmtId="165" pivotButton="0" quotePrefix="0" xfId="32"/>
    <xf applyAlignment="1" borderId="40" fillId="0" fontId="0" numFmtId="164" pivotButton="0" quotePrefix="0" xfId="0">
      <alignment horizontal="left"/>
    </xf>
    <xf applyAlignment="1" borderId="0" fillId="0" fontId="0" numFmtId="164" pivotButton="0" quotePrefix="0" xfId="0">
      <alignment horizontal="center"/>
    </xf>
    <xf borderId="3" fillId="28" fontId="105" numFmtId="172" pivotButton="0" quotePrefix="0" xfId="29"/>
    <xf borderId="110" fillId="28" fontId="105" numFmtId="172" pivotButton="0" quotePrefix="0" xfId="29"/>
    <xf borderId="0" fillId="26" fontId="8" numFmtId="164" pivotButton="0" quotePrefix="0" xfId="0"/>
    <xf borderId="0" fillId="0" fontId="0" numFmtId="176" pivotButton="0" quotePrefix="0" xfId="0"/>
    <xf borderId="0" fillId="0" fontId="22" numFmtId="174" pivotButton="0" quotePrefix="0" xfId="0"/>
    <xf applyAlignment="1" borderId="0" fillId="0" fontId="16" numFmtId="180" pivotButton="0" quotePrefix="0" xfId="39">
      <alignment horizontal="center" vertical="center"/>
    </xf>
    <xf borderId="0" fillId="49" fontId="8" numFmtId="9" pivotButton="0" quotePrefix="0" xfId="50"/>
    <xf borderId="0" fillId="49" fontId="11" numFmtId="164" pivotButton="0" quotePrefix="0" xfId="0"/>
    <xf borderId="0" fillId="49" fontId="11" numFmtId="38" pivotButton="0" quotePrefix="0" xfId="0"/>
    <xf borderId="115" fillId="0" fontId="11" numFmtId="164" pivotButton="0" quotePrefix="0" xfId="0"/>
    <xf borderId="116" fillId="0" fontId="11" numFmtId="38" pivotButton="0" quotePrefix="0" xfId="0"/>
    <xf borderId="0" fillId="35" fontId="24" numFmtId="164" pivotButton="0" quotePrefix="0" xfId="0"/>
    <xf borderId="0" fillId="35" fontId="24" numFmtId="38" pivotButton="0" quotePrefix="0" xfId="0"/>
    <xf applyAlignment="1" borderId="27" fillId="20" fontId="8" numFmtId="38" pivotButton="0" quotePrefix="0" xfId="39">
      <alignment vertical="center"/>
    </xf>
    <xf borderId="0" fillId="0" fontId="6" numFmtId="165" pivotButton="0" quotePrefix="0" xfId="43"/>
    <xf borderId="0" fillId="26" fontId="16" numFmtId="165" pivotButton="0" quotePrefix="0" xfId="43"/>
    <xf borderId="0" fillId="26" fontId="5" numFmtId="165" pivotButton="0" quotePrefix="0" xfId="43"/>
    <xf applyAlignment="1" borderId="117" fillId="16" fontId="8" numFmtId="38" pivotButton="0" quotePrefix="0" xfId="39">
      <alignment vertical="center"/>
    </xf>
    <xf applyAlignment="1" borderId="0" fillId="38" fontId="22" numFmtId="174" pivotButton="0" quotePrefix="0" xfId="0">
      <alignment horizontal="left"/>
    </xf>
    <xf borderId="0" fillId="0" fontId="0" numFmtId="181" pivotButton="0" quotePrefix="0" xfId="0"/>
    <xf applyAlignment="1" borderId="27" fillId="2" fontId="8" numFmtId="38" pivotButton="0" quotePrefix="0" xfId="15">
      <alignment vertical="center"/>
    </xf>
    <xf borderId="48" fillId="2" fontId="8" numFmtId="164" pivotButton="0" quotePrefix="0" xfId="24"/>
    <xf applyAlignment="1" borderId="25" fillId="2" fontId="8" numFmtId="38" pivotButton="0" quotePrefix="0" xfId="39">
      <alignment vertical="center"/>
    </xf>
    <xf borderId="0" fillId="0" fontId="9" numFmtId="169" pivotButton="0" quotePrefix="0" xfId="24"/>
    <xf applyAlignment="1" borderId="0" fillId="0" fontId="0" numFmtId="164" pivotButton="0" quotePrefix="0" xfId="0">
      <alignment wrapText="1"/>
    </xf>
    <xf applyAlignment="1" borderId="118" fillId="35" fontId="77" numFmtId="178" pivotButton="0" quotePrefix="0" xfId="0">
      <alignment horizontal="center"/>
    </xf>
    <xf applyAlignment="1" borderId="5" fillId="53" fontId="37" numFmtId="164" pivotButton="0" quotePrefix="0" xfId="0">
      <alignment horizontal="left" vertical="center"/>
    </xf>
    <xf applyAlignment="1" borderId="0" fillId="53" fontId="17" numFmtId="165" pivotButton="0" quotePrefix="0" xfId="43">
      <alignment vertical="center"/>
    </xf>
    <xf borderId="0" fillId="50" fontId="113" numFmtId="165" pivotButton="0" quotePrefix="0" xfId="43"/>
    <xf borderId="0" fillId="52" fontId="112" numFmtId="165" pivotButton="0" quotePrefix="0" xfId="0"/>
    <xf borderId="49" fillId="31" fontId="119" numFmtId="9" pivotButton="0" quotePrefix="0" xfId="50"/>
    <xf applyAlignment="1" borderId="28" fillId="0" fontId="120" numFmtId="38" pivotButton="0" quotePrefix="0" xfId="15">
      <alignment vertical="center"/>
    </xf>
    <xf applyAlignment="1" borderId="50" fillId="0" fontId="120" numFmtId="38" pivotButton="0" quotePrefix="0" xfId="15">
      <alignment vertical="center"/>
    </xf>
    <xf borderId="0" fillId="0" fontId="8" numFmtId="165" pivotButton="0" quotePrefix="0" xfId="43"/>
    <xf applyAlignment="1" borderId="0" fillId="0" fontId="105" numFmtId="164" pivotButton="0" quotePrefix="0" xfId="29">
      <alignment vertical="center"/>
    </xf>
    <xf applyAlignment="1" borderId="0" fillId="0" fontId="105" numFmtId="164" pivotButton="0" quotePrefix="0" xfId="29">
      <alignment vertical="center"/>
    </xf>
    <xf borderId="0" fillId="0" fontId="121" numFmtId="172" pivotButton="0" quotePrefix="0" xfId="29"/>
    <xf applyAlignment="1" borderId="0" fillId="0" fontId="121" numFmtId="165" pivotButton="0" quotePrefix="0" xfId="14">
      <alignment vertical="center"/>
    </xf>
    <xf applyAlignment="1" borderId="0" fillId="0" fontId="121" numFmtId="165" pivotButton="0" quotePrefix="0" xfId="14">
      <alignment vertical="center"/>
    </xf>
    <xf applyAlignment="1" borderId="0" fillId="0" fontId="121" numFmtId="182" pivotButton="0" quotePrefix="0" xfId="14">
      <alignment vertical="center"/>
    </xf>
    <xf applyAlignment="1" borderId="0" fillId="0" fontId="105" numFmtId="164" pivotButton="0" quotePrefix="0" xfId="29">
      <alignment vertical="center"/>
    </xf>
    <xf applyAlignment="1" borderId="12" fillId="46" fontId="104" numFmtId="168" pivotButton="0" quotePrefix="0" xfId="29">
      <alignment horizontal="center" vertical="center"/>
    </xf>
    <xf applyAlignment="1" borderId="13" fillId="0" fontId="104" numFmtId="172" pivotButton="0" quotePrefix="0" xfId="29">
      <alignment horizontal="center" vertical="center"/>
    </xf>
    <xf applyAlignment="1" borderId="13" fillId="0" fontId="104" numFmtId="164" pivotButton="0" quotePrefix="0" xfId="29">
      <alignment horizontal="center" vertical="center"/>
    </xf>
    <xf applyAlignment="1" borderId="14" fillId="0" fontId="104" numFmtId="164" pivotButton="0" quotePrefix="0" xfId="29">
      <alignment horizontal="center" vertical="center"/>
    </xf>
    <xf applyAlignment="1" borderId="120" fillId="46" fontId="105" numFmtId="171" pivotButton="0" quotePrefix="0" xfId="29">
      <alignment horizontal="center" vertical="center" wrapText="1"/>
    </xf>
    <xf applyAlignment="1" borderId="118" fillId="0" fontId="105" numFmtId="171" pivotButton="0" quotePrefix="0" xfId="29">
      <alignment horizontal="center" vertical="center" wrapText="1"/>
    </xf>
    <xf applyAlignment="1" borderId="118" fillId="42" fontId="104" numFmtId="172" pivotButton="0" quotePrefix="0" xfId="29">
      <alignment horizontal="center" vertical="center"/>
    </xf>
    <xf applyAlignment="1" borderId="118" fillId="30" fontId="104" numFmtId="164" pivotButton="0" quotePrefix="0" xfId="29">
      <alignment horizontal="center" vertical="center" wrapText="1"/>
    </xf>
    <xf applyAlignment="1" borderId="118" fillId="0" fontId="104" numFmtId="164" pivotButton="0" quotePrefix="0" xfId="29">
      <alignment horizontal="center" vertical="center"/>
    </xf>
    <xf applyAlignment="1" borderId="121" fillId="0" fontId="105" numFmtId="171" pivotButton="0" quotePrefix="0" xfId="29">
      <alignment horizontal="center" vertical="center" wrapText="1"/>
    </xf>
    <xf applyAlignment="1" borderId="0" fillId="0" fontId="105" numFmtId="171" pivotButton="0" quotePrefix="0" xfId="29">
      <alignment vertical="center" wrapText="1"/>
    </xf>
    <xf borderId="120" fillId="0" fontId="105" numFmtId="172" pivotButton="0" quotePrefix="0" xfId="61"/>
    <xf borderId="118" fillId="0" fontId="105" numFmtId="172" pivotButton="0" quotePrefix="0" xfId="29"/>
    <xf borderId="118" fillId="0" fontId="122" numFmtId="172" pivotButton="0" quotePrefix="0" xfId="29"/>
    <xf borderId="121" fillId="0" fontId="105" numFmtId="172" pivotButton="0" quotePrefix="0" xfId="29"/>
    <xf applyAlignment="1" borderId="0" fillId="0" fontId="105" numFmtId="172" pivotButton="0" quotePrefix="0" xfId="29">
      <alignment vertical="center"/>
    </xf>
    <xf applyAlignment="1" borderId="118" fillId="0" fontId="105" numFmtId="164" pivotButton="0" quotePrefix="0" xfId="29">
      <alignment vertical="center"/>
    </xf>
    <xf borderId="120" fillId="54" fontId="109" numFmtId="172" pivotButton="0" quotePrefix="0" xfId="61"/>
    <xf borderId="120" fillId="0" fontId="109" numFmtId="172" pivotButton="0" quotePrefix="0" xfId="61"/>
    <xf borderId="120" fillId="0" fontId="123" numFmtId="172" pivotButton="0" quotePrefix="0" xfId="61"/>
    <xf borderId="118" fillId="0" fontId="123" numFmtId="172" pivotButton="0" quotePrefix="0" xfId="29"/>
    <xf applyAlignment="1" borderId="0" fillId="0" fontId="115" numFmtId="10" pivotButton="0" quotePrefix="0" xfId="29">
      <alignment vertical="center"/>
    </xf>
    <xf applyAlignment="1" borderId="86" fillId="46" fontId="104" numFmtId="165" pivotButton="0" quotePrefix="0" xfId="14">
      <alignment horizontal="center" vertical="center"/>
    </xf>
    <xf applyAlignment="1" borderId="119" fillId="0" fontId="105" numFmtId="165" pivotButton="0" quotePrefix="0" xfId="14">
      <alignment horizontal="center" vertical="center"/>
    </xf>
    <xf applyAlignment="1" borderId="119" fillId="46" fontId="105" numFmtId="165" pivotButton="0" quotePrefix="0" xfId="14">
      <alignment horizontal="center" vertical="center"/>
    </xf>
    <xf applyAlignment="1" borderId="108" fillId="0" fontId="105" numFmtId="165" pivotButton="0" quotePrefix="0" xfId="14">
      <alignment horizontal="center" vertical="center"/>
    </xf>
    <xf applyAlignment="1" borderId="0" fillId="0" fontId="105" numFmtId="173" pivotButton="0" quotePrefix="0" xfId="50">
      <alignment vertical="center"/>
    </xf>
    <xf applyAlignment="1" borderId="0" fillId="0" fontId="105" numFmtId="165" pivotButton="0" quotePrefix="0" xfId="14">
      <alignment horizontal="center" vertical="center"/>
    </xf>
    <xf applyAlignment="1" borderId="111" fillId="33" fontId="77" numFmtId="174" pivotButton="0" quotePrefix="0" xfId="0">
      <alignment horizontal="center"/>
    </xf>
    <xf applyAlignment="1" borderId="111" fillId="39" fontId="77" numFmtId="174" pivotButton="0" quotePrefix="0" xfId="0">
      <alignment horizontal="center"/>
    </xf>
    <xf applyAlignment="1" borderId="0" fillId="3" fontId="105" numFmtId="171" pivotButton="0" quotePrefix="0" xfId="29">
      <alignment vertical="center"/>
    </xf>
    <xf applyAlignment="1" borderId="0" fillId="0" fontId="105" numFmtId="171" pivotButton="0" quotePrefix="0" xfId="29">
      <alignment vertical="center"/>
    </xf>
    <xf applyAlignment="1" borderId="0" fillId="0" fontId="105" numFmtId="10" pivotButton="0" quotePrefix="0" xfId="29">
      <alignment vertical="center"/>
    </xf>
    <xf borderId="0" fillId="26" fontId="118" numFmtId="165" pivotButton="0" quotePrefix="0" xfId="43"/>
    <xf applyAlignment="1" borderId="118" fillId="0" fontId="44" numFmtId="164" pivotButton="0" quotePrefix="0" xfId="0">
      <alignment horizontal="left" vertical="center" wrapText="1"/>
    </xf>
    <xf applyAlignment="1" borderId="118" fillId="0" fontId="44" numFmtId="174" pivotButton="0" quotePrefix="0" xfId="0">
      <alignment horizontal="right" vertical="center"/>
    </xf>
    <xf applyAlignment="1" borderId="118" fillId="0" fontId="128" numFmtId="174" pivotButton="0" quotePrefix="0" xfId="0">
      <alignment horizontal="right" vertical="center"/>
    </xf>
    <xf applyAlignment="1" borderId="48" fillId="0" fontId="44" numFmtId="164" pivotButton="0" quotePrefix="0" xfId="0">
      <alignment horizontal="left" vertical="center" wrapText="1"/>
    </xf>
    <xf borderId="0" fillId="0" fontId="0" numFmtId="176" pivotButton="0" quotePrefix="0" xfId="0"/>
    <xf borderId="0" fillId="0" fontId="0" numFmtId="174" pivotButton="0" quotePrefix="0" xfId="0"/>
    <xf applyAlignment="1" borderId="0" fillId="0" fontId="74" numFmtId="177" pivotButton="0" quotePrefix="0" xfId="0">
      <alignment horizontal="center"/>
    </xf>
    <xf applyAlignment="1" applyProtection="1" borderId="0" fillId="0" fontId="82" numFmtId="174" pivotButton="0" quotePrefix="0" xfId="0">
      <alignment horizontal="center" vertical="center"/>
      <protection hidden="0" locked="0"/>
    </xf>
    <xf applyAlignment="1" borderId="54" fillId="35" fontId="77" numFmtId="178" pivotButton="0" quotePrefix="0" xfId="0">
      <alignment horizontal="center"/>
    </xf>
    <xf borderId="0" fillId="0" fontId="82" numFmtId="183" pivotButton="0" quotePrefix="0" xfId="0"/>
    <xf borderId="0" fillId="0" fontId="82" numFmtId="169" pivotButton="0" quotePrefix="0" xfId="43"/>
    <xf applyAlignment="1" borderId="28" fillId="0" fontId="130" numFmtId="38" pivotButton="0" quotePrefix="0" xfId="39">
      <alignment vertical="center"/>
    </xf>
    <xf applyAlignment="1" borderId="50" fillId="0" fontId="130" numFmtId="38" pivotButton="0" quotePrefix="0" xfId="39">
      <alignment vertical="center"/>
    </xf>
    <xf applyAlignment="1" borderId="27" fillId="0" fontId="130" numFmtId="38" pivotButton="0" quotePrefix="0" xfId="15">
      <alignment vertical="center"/>
    </xf>
    <xf applyAlignment="1" borderId="28" fillId="0" fontId="130" numFmtId="38" pivotButton="0" quotePrefix="0" xfId="15">
      <alignment vertical="center"/>
    </xf>
    <xf applyAlignment="1" borderId="50" fillId="0" fontId="130" numFmtId="38" pivotButton="0" quotePrefix="0" xfId="15">
      <alignment vertical="center"/>
    </xf>
    <xf applyAlignment="1" borderId="28" fillId="0" fontId="130" numFmtId="40" pivotButton="0" quotePrefix="0" xfId="15">
      <alignment vertical="center"/>
    </xf>
    <xf borderId="48" fillId="20" fontId="8" numFmtId="164" pivotButton="0" quotePrefix="0" xfId="24"/>
    <xf borderId="54" fillId="20" fontId="8" numFmtId="164" pivotButton="0" quotePrefix="0" xfId="24"/>
    <xf borderId="54" fillId="2" fontId="55" numFmtId="164" pivotButton="0" quotePrefix="0" xfId="24"/>
    <xf applyAlignment="1" borderId="26" fillId="2" fontId="8" numFmtId="38" pivotButton="0" quotePrefix="0" xfId="39">
      <alignment vertical="center"/>
    </xf>
    <xf applyAlignment="1" borderId="26" fillId="2" fontId="8" numFmtId="38" pivotButton="0" quotePrefix="0" xfId="15">
      <alignment vertical="center"/>
    </xf>
    <xf applyAlignment="1" borderId="55" fillId="2" fontId="8" numFmtId="38" pivotButton="0" quotePrefix="0" xfId="15">
      <alignment vertical="center"/>
    </xf>
    <xf borderId="122" fillId="0" fontId="11" numFmtId="164" pivotButton="0" quotePrefix="0" xfId="0"/>
    <xf borderId="0" fillId="31" fontId="21" numFmtId="165" pivotButton="0" quotePrefix="0" xfId="43"/>
    <xf borderId="0" fillId="21" fontId="21" numFmtId="165" pivotButton="0" quotePrefix="0" xfId="43"/>
    <xf applyAlignment="1" borderId="28" fillId="0" fontId="21" numFmtId="38" pivotButton="0" quotePrefix="0" xfId="39">
      <alignment vertical="center"/>
    </xf>
    <xf borderId="0" fillId="0" fontId="21" numFmtId="165" pivotButton="0" quotePrefix="0" xfId="43"/>
    <xf applyAlignment="1" borderId="28" fillId="0" fontId="120" numFmtId="38" pivotButton="0" quotePrefix="0" xfId="39">
      <alignment vertical="center"/>
    </xf>
    <xf applyAlignment="1" borderId="27" fillId="20" fontId="130" numFmtId="38" pivotButton="0" quotePrefix="0" xfId="39">
      <alignment vertical="center"/>
    </xf>
    <xf borderId="0" fillId="28" fontId="18" numFmtId="174" pivotButton="0" quotePrefix="0" xfId="0"/>
    <xf applyAlignment="1" borderId="25" fillId="20" fontId="130" numFmtId="38" pivotButton="0" quotePrefix="0" xfId="39">
      <alignment vertical="center"/>
    </xf>
    <xf applyAlignment="1" borderId="4" fillId="0" fontId="8" numFmtId="9" pivotButton="0" quotePrefix="0" xfId="50">
      <alignment vertical="center"/>
    </xf>
    <xf borderId="123" fillId="0" fontId="11" numFmtId="38" pivotButton="0" quotePrefix="0" xfId="0"/>
    <xf borderId="0" fillId="38" fontId="71" numFmtId="184" pivotButton="0" quotePrefix="0" xfId="43"/>
    <xf applyAlignment="1" borderId="6" fillId="13" fontId="10" numFmtId="174" pivotButton="0" quotePrefix="1" xfId="24">
      <alignment horizontal="left" wrapText="1"/>
    </xf>
    <xf applyAlignment="1" applyProtection="1" borderId="128" fillId="0" fontId="73" numFmtId="174" pivotButton="0" quotePrefix="0" xfId="0">
      <alignment wrapText="1"/>
      <protection hidden="0" locked="0"/>
    </xf>
    <xf applyAlignment="1" applyProtection="1" borderId="127" fillId="0" fontId="75" numFmtId="174" pivotButton="0" quotePrefix="0" xfId="0">
      <alignment horizontal="center" vertical="center"/>
      <protection hidden="0" locked="0"/>
    </xf>
    <xf applyAlignment="1" applyProtection="1" borderId="127" fillId="0" fontId="75" numFmtId="174" pivotButton="0" quotePrefix="0" xfId="0">
      <alignment horizontal="left"/>
      <protection hidden="0" locked="0"/>
    </xf>
    <xf applyAlignment="1" applyProtection="1" borderId="127" fillId="0" fontId="73" numFmtId="174" pivotButton="0" quotePrefix="0" xfId="0">
      <alignment horizontal="center"/>
      <protection hidden="0" locked="0"/>
    </xf>
    <xf applyAlignment="1" applyProtection="1" borderId="127" fillId="0" fontId="129" numFmtId="174" pivotButton="0" quotePrefix="0" xfId="0">
      <alignment horizontal="center" vertical="center"/>
      <protection hidden="0" locked="0"/>
    </xf>
    <xf applyAlignment="1" applyProtection="1" borderId="127" fillId="0" fontId="75" numFmtId="174" pivotButton="0" quotePrefix="0" xfId="0">
      <alignment horizontal="center" vertical="center" wrapText="1"/>
      <protection hidden="0" locked="0"/>
    </xf>
    <xf applyAlignment="1" applyProtection="1" borderId="127" fillId="0" fontId="73" numFmtId="174" pivotButton="0" quotePrefix="0" xfId="0">
      <alignment horizontal="left"/>
      <protection hidden="0" locked="0"/>
    </xf>
    <xf borderId="13" fillId="0" fontId="83" numFmtId="178" pivotButton="0" quotePrefix="0" xfId="0"/>
    <xf borderId="127" fillId="0" fontId="83" numFmtId="178" pivotButton="0" quotePrefix="0" xfId="0"/>
    <xf borderId="127" fillId="0" fontId="82" numFmtId="178" pivotButton="0" quotePrefix="0" xfId="0"/>
    <xf borderId="127" fillId="0" fontId="114" numFmtId="185" pivotButton="0" quotePrefix="0" xfId="0"/>
    <xf borderId="127" fillId="0" fontId="114" numFmtId="178" pivotButton="0" quotePrefix="0" xfId="0"/>
    <xf borderId="127" fillId="0" fontId="114" numFmtId="180" pivotButton="0" quotePrefix="0" xfId="0"/>
    <xf borderId="111" fillId="0" fontId="114" numFmtId="178" pivotButton="0" quotePrefix="0" xfId="0"/>
    <xf borderId="111" fillId="0" fontId="83" numFmtId="178" pivotButton="0" quotePrefix="0" xfId="0"/>
    <xf borderId="111" fillId="0" fontId="82" numFmtId="178" pivotButton="0" quotePrefix="0" xfId="0"/>
    <xf borderId="0" fillId="0" fontId="73" numFmtId="164" pivotButton="0" quotePrefix="0" xfId="0"/>
    <xf applyAlignment="1" borderId="0" fillId="0" fontId="82" numFmtId="174" pivotButton="0" quotePrefix="0" xfId="0">
      <alignment horizontal="center" vertical="center"/>
    </xf>
    <xf borderId="0" fillId="0" fontId="82" numFmtId="174" pivotButton="0" quotePrefix="0" xfId="0"/>
    <xf applyAlignment="1" applyProtection="1" borderId="127" fillId="0" fontId="82" numFmtId="174" pivotButton="0" quotePrefix="0" xfId="0">
      <alignment horizontal="center" vertical="center"/>
      <protection hidden="0" locked="0"/>
    </xf>
    <xf borderId="0" fillId="0" fontId="77" numFmtId="174" pivotButton="0" quotePrefix="0" xfId="0"/>
    <xf borderId="0" fillId="0" fontId="90" numFmtId="174" pivotButton="0" quotePrefix="0" xfId="0"/>
    <xf borderId="0" fillId="0" fontId="93" numFmtId="174" pivotButton="0" quotePrefix="0" xfId="0"/>
    <xf borderId="0" fillId="0" fontId="96" numFmtId="174" pivotButton="0" quotePrefix="0" xfId="0"/>
    <xf borderId="0" fillId="0" fontId="82" numFmtId="174" pivotButton="0" quotePrefix="0" xfId="0"/>
    <xf applyAlignment="1" borderId="0" fillId="0" fontId="73" numFmtId="174" pivotButton="0" quotePrefix="0" xfId="0">
      <alignment horizontal="left"/>
    </xf>
    <xf applyAlignment="1" borderId="0" fillId="0" fontId="76" numFmtId="174" pivotButton="0" quotePrefix="0" xfId="0">
      <alignment shrinkToFit="1"/>
    </xf>
    <xf borderId="48" fillId="0" fontId="82" numFmtId="165" pivotButton="0" quotePrefix="0" xfId="32"/>
    <xf applyAlignment="1" borderId="0" fillId="0" fontId="73" numFmtId="9" pivotButton="0" quotePrefix="0" xfId="16">
      <alignment horizontal="center"/>
    </xf>
    <xf borderId="54" fillId="35" fontId="77" numFmtId="174" pivotButton="0" quotePrefix="0" xfId="0"/>
    <xf borderId="127" fillId="35" fontId="77" numFmtId="174" pivotButton="0" quotePrefix="0" xfId="0"/>
    <xf borderId="54" fillId="22" fontId="82" numFmtId="165" pivotButton="0" quotePrefix="0" xfId="32"/>
    <xf borderId="127" fillId="0" fontId="99" numFmtId="172" pivotButton="0" quotePrefix="0" xfId="61"/>
    <xf borderId="127" fillId="0" fontId="82" numFmtId="164" pivotButton="0" quotePrefix="0" xfId="0"/>
    <xf borderId="127" fillId="0" fontId="82" numFmtId="177" pivotButton="0" quotePrefix="0" xfId="0"/>
    <xf applyAlignment="1" borderId="127" fillId="0" fontId="77" numFmtId="164" pivotButton="0" quotePrefix="0" xfId="0">
      <alignment shrinkToFit="1"/>
    </xf>
    <xf borderId="127" fillId="37" fontId="82" numFmtId="177" pivotButton="0" quotePrefix="0" xfId="0"/>
    <xf borderId="0" fillId="0" fontId="73" numFmtId="177" pivotButton="0" quotePrefix="0" xfId="0"/>
    <xf applyAlignment="1" borderId="127" fillId="0" fontId="82" numFmtId="164" pivotButton="0" quotePrefix="0" xfId="0">
      <alignment horizontal="left"/>
    </xf>
    <xf borderId="63" fillId="0" fontId="82" numFmtId="174" pivotButton="0" quotePrefix="0" xfId="0"/>
    <xf borderId="63" fillId="0" fontId="101" numFmtId="174" pivotButton="0" quotePrefix="0" xfId="0"/>
    <xf borderId="0" fillId="0" fontId="73" numFmtId="174" pivotButton="0" quotePrefix="0" xfId="0"/>
    <xf borderId="0" fillId="0" fontId="98" numFmtId="174" pivotButton="0" quotePrefix="0" xfId="0"/>
    <xf borderId="65" fillId="0" fontId="73" numFmtId="174" pivotButton="0" quotePrefix="0" xfId="0"/>
    <xf borderId="67" fillId="0" fontId="73" numFmtId="174" pivotButton="0" quotePrefix="0" xfId="0"/>
    <xf borderId="67" fillId="0" fontId="98" numFmtId="174" pivotButton="0" quotePrefix="0" xfId="0"/>
    <xf borderId="68" fillId="0" fontId="73" numFmtId="174" pivotButton="0" quotePrefix="0" xfId="0"/>
    <xf borderId="0" fillId="0" fontId="73" numFmtId="174" pivotButton="0" quotePrefix="0" xfId="0"/>
    <xf borderId="0" fillId="0" fontId="73" numFmtId="165" pivotButton="0" quotePrefix="0" xfId="32"/>
    <xf borderId="49" fillId="0" fontId="73" numFmtId="174" pivotButton="0" quotePrefix="0" xfId="0"/>
    <xf applyAlignment="1" borderId="0" fillId="0" fontId="76" numFmtId="174" pivotButton="0" quotePrefix="0" xfId="0">
      <alignment shrinkToFit="1"/>
    </xf>
    <xf borderId="0" fillId="55" fontId="73" numFmtId="165" pivotButton="0" quotePrefix="0" xfId="32"/>
    <xf borderId="5" fillId="0" fontId="73" numFmtId="174" pivotButton="0" quotePrefix="0" xfId="0"/>
    <xf applyAlignment="1" borderId="3" fillId="0" fontId="76" numFmtId="174" pivotButton="0" quotePrefix="0" xfId="0">
      <alignment shrinkToFit="1"/>
    </xf>
    <xf borderId="3" fillId="0" fontId="73" numFmtId="165" pivotButton="0" quotePrefix="0" xfId="32"/>
    <xf borderId="3" fillId="55" fontId="73" numFmtId="165" pivotButton="0" quotePrefix="0" xfId="32"/>
    <xf applyAlignment="1" borderId="0" fillId="34" fontId="77" numFmtId="164" pivotButton="0" quotePrefix="0" xfId="0">
      <alignment horizontal="left"/>
    </xf>
    <xf borderId="0" fillId="55" fontId="98" numFmtId="174" pivotButton="0" quotePrefix="0" xfId="0"/>
    <xf applyAlignment="1" borderId="0" fillId="56" fontId="82" numFmtId="165" pivotButton="0" quotePrefix="0" xfId="43">
      <alignment horizontal="left"/>
    </xf>
    <xf borderId="69" fillId="55" fontId="98" numFmtId="174" pivotButton="0" quotePrefix="0" xfId="0"/>
    <xf borderId="0" fillId="0" fontId="73" numFmtId="186" pivotButton="0" quotePrefix="0" xfId="0"/>
    <xf borderId="0" fillId="0" fontId="73" numFmtId="187" pivotButton="0" quotePrefix="0" xfId="0"/>
    <xf borderId="49" fillId="0" fontId="73" numFmtId="174" pivotButton="0" quotePrefix="0" xfId="0"/>
    <xf borderId="0" fillId="55" fontId="98" numFmtId="174" pivotButton="0" quotePrefix="0" xfId="0"/>
    <xf borderId="3" fillId="0" fontId="73" numFmtId="174" pivotButton="0" quotePrefix="0" xfId="0"/>
    <xf borderId="3" fillId="55" fontId="98" numFmtId="174" pivotButton="0" quotePrefix="0" xfId="0"/>
    <xf applyAlignment="1" borderId="40" fillId="57" fontId="52" numFmtId="168" pivotButton="0" quotePrefix="0" xfId="29">
      <alignment horizontal="center" vertical="center"/>
    </xf>
    <xf applyAlignment="1" borderId="0" fillId="57" fontId="52" numFmtId="168" pivotButton="0" quotePrefix="0" xfId="29">
      <alignment horizontal="center" vertical="center"/>
    </xf>
    <xf borderId="0" fillId="57" fontId="0" numFmtId="164" pivotButton="0" quotePrefix="0" xfId="0"/>
    <xf applyAlignment="1" borderId="40" fillId="57" fontId="53" numFmtId="171" pivotButton="0" quotePrefix="0" xfId="29">
      <alignment horizontal="center" vertical="center" wrapText="1"/>
    </xf>
    <xf applyAlignment="1" borderId="0" fillId="57" fontId="53" numFmtId="171" pivotButton="0" quotePrefix="0" xfId="29">
      <alignment horizontal="center" vertical="center" wrapText="1"/>
    </xf>
    <xf borderId="40" fillId="57" fontId="53" numFmtId="172" pivotButton="0" quotePrefix="0" xfId="29"/>
    <xf borderId="0" fillId="57" fontId="53" numFmtId="172" pivotButton="0" quotePrefix="0" xfId="61"/>
    <xf borderId="22" fillId="57" fontId="53" numFmtId="172" pivotButton="0" quotePrefix="0" xfId="29"/>
    <xf borderId="40" fillId="57" fontId="53" numFmtId="172" pivotButton="0" quotePrefix="0" xfId="61"/>
    <xf borderId="22" fillId="57" fontId="53" numFmtId="172" pivotButton="0" quotePrefix="0" xfId="61"/>
    <xf applyAlignment="1" borderId="40" fillId="57" fontId="52" numFmtId="165" pivotButton="0" quotePrefix="0" xfId="14">
      <alignment horizontal="center" vertical="center"/>
    </xf>
    <xf applyAlignment="1" borderId="0" fillId="57" fontId="52" numFmtId="165" pivotButton="0" quotePrefix="0" xfId="14">
      <alignment horizontal="center" vertical="center"/>
    </xf>
    <xf applyAlignment="1" borderId="40" fillId="57" fontId="53" numFmtId="165" pivotButton="0" quotePrefix="0" xfId="14">
      <alignment horizontal="center" vertical="center"/>
    </xf>
    <xf applyAlignment="1" borderId="0" fillId="57" fontId="53" numFmtId="168" pivotButton="0" quotePrefix="0" xfId="29">
      <alignment vertical="center"/>
    </xf>
    <xf applyAlignment="1" borderId="40" fillId="57" fontId="53" numFmtId="173" pivotButton="0" quotePrefix="0" xfId="14">
      <alignment horizontal="center" vertical="center"/>
    </xf>
    <xf applyAlignment="1" borderId="0" fillId="57" fontId="53" numFmtId="165" pivotButton="0" quotePrefix="0" xfId="14">
      <alignment horizontal="center" vertical="center"/>
    </xf>
    <xf applyAlignment="1" borderId="127" fillId="35" fontId="77" numFmtId="178" pivotButton="0" quotePrefix="0" xfId="0">
      <alignment horizontal="center"/>
    </xf>
    <xf applyAlignment="1" borderId="0" fillId="18" fontId="20" numFmtId="165" pivotButton="0" quotePrefix="0" xfId="43">
      <alignment vertical="center"/>
    </xf>
    <xf borderId="0" fillId="21" fontId="18" numFmtId="165" pivotButton="0" quotePrefix="0" xfId="43"/>
    <xf borderId="0" fillId="28" fontId="18" numFmtId="165" pivotButton="0" quotePrefix="0" xfId="43"/>
    <xf applyAlignment="1" borderId="0" fillId="26" fontId="5" numFmtId="164" pivotButton="0" quotePrefix="0" xfId="0">
      <alignment horizontal="right"/>
    </xf>
    <xf applyAlignment="1" borderId="111" fillId="0" fontId="52" numFmtId="165" pivotButton="0" quotePrefix="0" xfId="14">
      <alignment horizontal="center" vertical="center"/>
    </xf>
    <xf applyAlignment="1" borderId="0" fillId="0" fontId="58" numFmtId="165" pivotButton="0" quotePrefix="0" xfId="14">
      <alignment horizontal="center" vertical="center"/>
    </xf>
    <xf borderId="127" fillId="57" fontId="53" numFmtId="172" pivotButton="0" quotePrefix="0" xfId="29"/>
    <xf borderId="127" fillId="57" fontId="53" numFmtId="172" pivotButton="0" quotePrefix="0" xfId="61"/>
    <xf applyAlignment="1" borderId="40" fillId="16" fontId="52" numFmtId="168" pivotButton="0" quotePrefix="0" xfId="29">
      <alignment horizontal="center" vertical="center"/>
    </xf>
    <xf applyAlignment="1" borderId="127" fillId="16" fontId="52" numFmtId="168" pivotButton="0" quotePrefix="0" xfId="29">
      <alignment horizontal="center" vertical="center"/>
    </xf>
    <xf borderId="127" fillId="16" fontId="0" numFmtId="164" pivotButton="0" quotePrefix="0" xfId="0"/>
    <xf applyAlignment="1" borderId="127" fillId="16" fontId="53" numFmtId="171" pivotButton="0" quotePrefix="0" xfId="29">
      <alignment horizontal="center" vertical="center" wrapText="1"/>
    </xf>
    <xf borderId="127" fillId="16" fontId="53" numFmtId="172" pivotButton="0" quotePrefix="0" xfId="29"/>
    <xf borderId="127" fillId="16" fontId="53" numFmtId="172" pivotButton="0" quotePrefix="0" xfId="61"/>
    <xf borderId="54" fillId="16" fontId="53" numFmtId="172" pivotButton="0" quotePrefix="0" xfId="29"/>
    <xf borderId="0" fillId="16" fontId="53" numFmtId="172" pivotButton="0" quotePrefix="0" xfId="61"/>
    <xf borderId="0" fillId="16" fontId="0" numFmtId="164" pivotButton="0" quotePrefix="0" xfId="0"/>
    <xf borderId="40" fillId="16" fontId="53" numFmtId="172" pivotButton="0" quotePrefix="0" xfId="29"/>
    <xf borderId="22" fillId="16" fontId="53" numFmtId="172" pivotButton="0" quotePrefix="0" xfId="29"/>
    <xf borderId="22" fillId="16" fontId="53" numFmtId="172" pivotButton="0" quotePrefix="0" xfId="61"/>
    <xf borderId="40" fillId="16" fontId="53" numFmtId="172" pivotButton="0" quotePrefix="0" xfId="61"/>
    <xf borderId="111" fillId="16" fontId="53" numFmtId="172" pivotButton="0" quotePrefix="0" xfId="61"/>
    <xf borderId="111" fillId="16" fontId="53" numFmtId="172" pivotButton="0" quotePrefix="0" xfId="29"/>
    <xf applyAlignment="1" borderId="127" fillId="16" fontId="52" numFmtId="165" pivotButton="0" quotePrefix="0" xfId="14">
      <alignment horizontal="center" vertical="center"/>
    </xf>
    <xf applyAlignment="1" borderId="127" fillId="16" fontId="53" numFmtId="165" pivotButton="0" quotePrefix="0" xfId="14">
      <alignment horizontal="center" vertical="center"/>
    </xf>
    <xf applyAlignment="1" borderId="127" fillId="16" fontId="53" numFmtId="168" pivotButton="0" quotePrefix="0" xfId="29">
      <alignment vertical="center"/>
    </xf>
    <xf applyAlignment="1" borderId="127" fillId="16" fontId="53" numFmtId="173" pivotButton="0" quotePrefix="0" xfId="14">
      <alignment horizontal="center" vertical="center"/>
    </xf>
    <xf applyAlignment="1" borderId="0" fillId="0" fontId="53" numFmtId="1" pivotButton="0" quotePrefix="0" xfId="29">
      <alignment vertical="center"/>
    </xf>
    <xf borderId="127" fillId="3" fontId="53" numFmtId="172" pivotButton="0" quotePrefix="0" xfId="29"/>
    <xf borderId="127" fillId="3" fontId="53" numFmtId="172" pivotButton="0" quotePrefix="0" xfId="274"/>
    <xf borderId="0" fillId="0" fontId="0" numFmtId="171" pivotButton="0" quotePrefix="0" xfId="0"/>
    <xf borderId="0" fillId="0" fontId="0" numFmtId="171" pivotButton="0" quotePrefix="0" xfId="0"/>
    <xf applyAlignment="1" borderId="0" fillId="16" fontId="52" numFmtId="165" pivotButton="0" quotePrefix="0" xfId="14">
      <alignment horizontal="center" vertical="center"/>
    </xf>
    <xf applyAlignment="1" borderId="0" fillId="16" fontId="53" numFmtId="168" pivotButton="0" quotePrefix="0" xfId="29">
      <alignment vertical="center"/>
    </xf>
    <xf applyAlignment="1" borderId="0" fillId="16" fontId="53" numFmtId="165" pivotButton="0" quotePrefix="0" xfId="14">
      <alignment horizontal="center" vertical="center"/>
    </xf>
    <xf applyAlignment="1" borderId="40" fillId="16" fontId="52" numFmtId="165" pivotButton="0" quotePrefix="0" xfId="14">
      <alignment horizontal="center" vertical="center"/>
    </xf>
    <xf applyAlignment="1" borderId="40" fillId="16" fontId="53" numFmtId="165" pivotButton="0" quotePrefix="0" xfId="14">
      <alignment horizontal="center" vertical="center"/>
    </xf>
    <xf applyAlignment="1" borderId="40" fillId="16" fontId="53" numFmtId="173" pivotButton="0" quotePrefix="0" xfId="14">
      <alignment horizontal="center" vertical="center"/>
    </xf>
    <xf borderId="127" fillId="16" fontId="8" numFmtId="164" pivotButton="0" quotePrefix="0" xfId="24"/>
    <xf applyAlignment="1" borderId="124" fillId="16" fontId="8" numFmtId="38" pivotButton="0" quotePrefix="0" xfId="39">
      <alignment vertical="center"/>
    </xf>
    <xf applyAlignment="1" borderId="40" fillId="58" fontId="52" numFmtId="168" pivotButton="0" quotePrefix="0" xfId="29">
      <alignment horizontal="center" vertical="center"/>
    </xf>
    <xf applyAlignment="1" borderId="0" fillId="58" fontId="52" numFmtId="168" pivotButton="0" quotePrefix="0" xfId="29">
      <alignment horizontal="center" vertical="center"/>
    </xf>
    <xf borderId="0" fillId="58" fontId="0" numFmtId="164" pivotButton="0" quotePrefix="0" xfId="0"/>
    <xf applyAlignment="1" borderId="40" fillId="58" fontId="53" numFmtId="171" pivotButton="0" quotePrefix="0" xfId="29">
      <alignment horizontal="center" vertical="center" wrapText="1"/>
    </xf>
    <xf applyAlignment="1" borderId="0" fillId="58" fontId="53" numFmtId="171" pivotButton="0" quotePrefix="0" xfId="29">
      <alignment horizontal="center" vertical="center" wrapText="1"/>
    </xf>
    <xf borderId="40" fillId="58" fontId="53" numFmtId="172" pivotButton="0" quotePrefix="0" xfId="29"/>
    <xf borderId="0" fillId="58" fontId="53" numFmtId="172" pivotButton="0" quotePrefix="0" xfId="61"/>
    <xf borderId="22" fillId="58" fontId="53" numFmtId="172" pivotButton="0" quotePrefix="0" xfId="29"/>
    <xf borderId="22" fillId="58" fontId="53" numFmtId="172" pivotButton="0" quotePrefix="0" xfId="61"/>
    <xf borderId="40" fillId="58" fontId="53" numFmtId="172" pivotButton="0" quotePrefix="0" xfId="61"/>
    <xf applyAlignment="1" borderId="40" fillId="58" fontId="52" numFmtId="165" pivotButton="0" quotePrefix="0" xfId="14">
      <alignment horizontal="center" vertical="center"/>
    </xf>
    <xf applyAlignment="1" borderId="0" fillId="58" fontId="52" numFmtId="165" pivotButton="0" quotePrefix="0" xfId="14">
      <alignment horizontal="center" vertical="center"/>
    </xf>
    <xf applyAlignment="1" borderId="40" fillId="58" fontId="53" numFmtId="165" pivotButton="0" quotePrefix="0" xfId="14">
      <alignment horizontal="center" vertical="center"/>
    </xf>
    <xf applyAlignment="1" borderId="0" fillId="58" fontId="53" numFmtId="168" pivotButton="0" quotePrefix="0" xfId="29">
      <alignment vertical="center"/>
    </xf>
    <xf applyAlignment="1" borderId="40" fillId="58" fontId="58" numFmtId="165" pivotButton="0" quotePrefix="0" xfId="14">
      <alignment horizontal="center" vertical="center"/>
    </xf>
    <xf applyAlignment="1" borderId="40" fillId="58" fontId="53" numFmtId="173" pivotButton="0" quotePrefix="0" xfId="14">
      <alignment horizontal="center" vertical="center"/>
    </xf>
    <xf applyAlignment="1" borderId="0" fillId="58" fontId="53" numFmtId="165" pivotButton="0" quotePrefix="0" xfId="14">
      <alignment horizontal="center" vertical="center"/>
    </xf>
    <xf applyAlignment="1" borderId="127" fillId="0" fontId="52" numFmtId="165" pivotButton="0" quotePrefix="0" xfId="14">
      <alignment horizontal="center" vertical="center"/>
    </xf>
    <xf applyAlignment="1" borderId="127" fillId="0" fontId="52" numFmtId="168" pivotButton="0" quotePrefix="0" xfId="29">
      <alignment horizontal="center" vertical="center"/>
    </xf>
    <xf applyAlignment="1" borderId="127" fillId="0" fontId="53" numFmtId="171" pivotButton="0" quotePrefix="0" xfId="29">
      <alignment horizontal="center" vertical="center" wrapText="1"/>
    </xf>
    <xf borderId="127" fillId="0" fontId="53" numFmtId="172" pivotButton="0" quotePrefix="0" xfId="29"/>
    <xf applyAlignment="1" borderId="127" fillId="0" fontId="53" numFmtId="165" pivotButton="0" quotePrefix="0" xfId="14">
      <alignment horizontal="center" vertical="center"/>
    </xf>
    <xf applyAlignment="1" borderId="127" fillId="0" fontId="53" numFmtId="173" pivotButton="0" quotePrefix="0" xfId="14">
      <alignment horizontal="center" vertical="center"/>
    </xf>
    <xf borderId="127" fillId="0" fontId="53" numFmtId="172" pivotButton="0" quotePrefix="0" xfId="274"/>
    <xf borderId="127" fillId="0" fontId="53" numFmtId="172" pivotButton="0" quotePrefix="0" xfId="61"/>
    <xf borderId="130" fillId="0" fontId="105" numFmtId="172" pivotButton="0" quotePrefix="0" xfId="29"/>
    <xf borderId="127" fillId="0" fontId="105" numFmtId="172" pivotButton="0" quotePrefix="0" xfId="29"/>
    <xf borderId="129" fillId="0" fontId="105" numFmtId="172" pivotButton="0" quotePrefix="0" xfId="29"/>
    <xf borderId="130" fillId="28" fontId="105" numFmtId="172" pivotButton="0" quotePrefix="0" xfId="29"/>
    <xf borderId="128" fillId="0" fontId="105" numFmtId="172" pivotButton="0" quotePrefix="0" xfId="29"/>
    <xf borderId="128" fillId="28" fontId="105" numFmtId="172" pivotButton="0" quotePrefix="0" xfId="29"/>
    <xf borderId="127" fillId="28" fontId="105" numFmtId="172" pivotButton="0" quotePrefix="0" xfId="29"/>
    <xf borderId="131" fillId="0" fontId="105" numFmtId="172" pivotButton="0" quotePrefix="0" xfId="29"/>
    <xf borderId="129" fillId="18" fontId="105" numFmtId="172" pivotButton="0" quotePrefix="0" xfId="29"/>
    <xf borderId="127" fillId="18" fontId="105" numFmtId="172" pivotButton="0" quotePrefix="0" xfId="29"/>
    <xf borderId="126" fillId="0" fontId="105" numFmtId="172" pivotButton="0" quotePrefix="0" xfId="29"/>
    <xf borderId="121" fillId="28" fontId="105" numFmtId="172" pivotButton="0" quotePrefix="0" xfId="29"/>
    <xf borderId="128" fillId="18" fontId="105" numFmtId="172" pivotButton="0" quotePrefix="0" xfId="29"/>
    <xf borderId="121" fillId="18" fontId="105" numFmtId="172" pivotButton="0" quotePrefix="0" xfId="29"/>
    <xf borderId="0" fillId="0" fontId="28" numFmtId="9" pivotButton="0" quotePrefix="0" xfId="0"/>
    <xf applyAlignment="1" borderId="127" fillId="5" fontId="29" numFmtId="164" pivotButton="0" quotePrefix="0" xfId="18">
      <alignment horizontal="center" wrapText="1"/>
    </xf>
    <xf applyAlignment="1" borderId="127" fillId="9" fontId="29" numFmtId="164" pivotButton="0" quotePrefix="0" xfId="18">
      <alignment horizontal="center" wrapText="1"/>
    </xf>
    <xf applyAlignment="1" borderId="127" fillId="0" fontId="30" numFmtId="164" pivotButton="0" quotePrefix="0" xfId="18">
      <alignment horizontal="left"/>
    </xf>
    <xf applyAlignment="1" borderId="127" fillId="0" fontId="31" numFmtId="3" pivotButton="0" quotePrefix="0" xfId="18">
      <alignment horizontal="right"/>
    </xf>
    <xf applyAlignment="1" borderId="127" fillId="0" fontId="30" numFmtId="3" pivotButton="0" quotePrefix="0" xfId="18">
      <alignment horizontal="right"/>
    </xf>
    <xf applyAlignment="1" borderId="54" fillId="0" fontId="32" numFmtId="164" pivotButton="0" quotePrefix="0" xfId="18">
      <alignment horizontal="left"/>
    </xf>
    <xf borderId="54" fillId="0" fontId="33" numFmtId="165" pivotButton="0" quotePrefix="0" xfId="43"/>
    <xf applyAlignment="1" borderId="54" fillId="0" fontId="32" numFmtId="165" pivotButton="0" quotePrefix="0" xfId="43">
      <alignment horizontal="left"/>
    </xf>
    <xf applyAlignment="1" borderId="54" fillId="0" fontId="33" numFmtId="165" pivotButton="0" quotePrefix="0" xfId="43">
      <alignment horizontal="left"/>
    </xf>
    <xf applyAlignment="1" borderId="54" fillId="0" fontId="33" numFmtId="3" pivotButton="0" quotePrefix="0" xfId="18">
      <alignment horizontal="right"/>
    </xf>
    <xf applyAlignment="1" borderId="127" fillId="0" fontId="32" numFmtId="164" pivotButton="0" quotePrefix="0" xfId="18">
      <alignment horizontal="left"/>
    </xf>
    <xf borderId="127" fillId="0" fontId="33" numFmtId="165" pivotButton="0" quotePrefix="0" xfId="43"/>
    <xf applyAlignment="1" borderId="127" fillId="0" fontId="32" numFmtId="165" pivotButton="0" quotePrefix="0" xfId="43">
      <alignment horizontal="left"/>
    </xf>
    <xf applyAlignment="1" borderId="127" fillId="0" fontId="33" numFmtId="165" pivotButton="0" quotePrefix="0" xfId="43">
      <alignment horizontal="left"/>
    </xf>
    <xf applyAlignment="1" borderId="127" fillId="0" fontId="33" numFmtId="3" pivotButton="0" quotePrefix="0" xfId="18">
      <alignment horizontal="right"/>
    </xf>
    <xf applyAlignment="1" borderId="126" fillId="5" fontId="34" numFmtId="165" pivotButton="0" quotePrefix="0" xfId="43">
      <alignment horizontal="left"/>
    </xf>
    <xf borderId="129" fillId="5" fontId="24" numFmtId="165" pivotButton="0" quotePrefix="0" xfId="43"/>
    <xf applyAlignment="1" borderId="126" fillId="9" fontId="34" numFmtId="165" pivotButton="0" quotePrefix="0" xfId="43">
      <alignment horizontal="left"/>
    </xf>
    <xf applyAlignment="1" borderId="126" fillId="9" fontId="24" numFmtId="3" pivotButton="0" quotePrefix="0" xfId="18">
      <alignment horizontal="right"/>
    </xf>
    <xf applyAlignment="1" borderId="127" fillId="0" fontId="32" numFmtId="3" pivotButton="0" quotePrefix="0" xfId="18">
      <alignment horizontal="right"/>
    </xf>
    <xf applyAlignment="1" borderId="127" fillId="0" fontId="55" numFmtId="3" pivotButton="0" quotePrefix="0" xfId="18">
      <alignment horizontal="right"/>
    </xf>
    <xf applyAlignment="1" borderId="127" fillId="0" fontId="8" numFmtId="165" pivotButton="0" quotePrefix="0" xfId="43">
      <alignment horizontal="left"/>
    </xf>
    <xf applyAlignment="1" borderId="127" fillId="0" fontId="55" numFmtId="165" pivotButton="0" quotePrefix="0" xfId="43">
      <alignment horizontal="left"/>
    </xf>
    <xf applyAlignment="1" borderId="127" fillId="0" fontId="8" numFmtId="164" pivotButton="0" quotePrefix="0" xfId="18">
      <alignment horizontal="left"/>
    </xf>
    <xf applyAlignment="1" borderId="127" fillId="0" fontId="8" numFmtId="165" pivotButton="0" quotePrefix="0" xfId="43">
      <alignment horizontal="left"/>
    </xf>
    <xf applyAlignment="1" borderId="127" fillId="0" fontId="33" numFmtId="3" pivotButton="0" quotePrefix="0" xfId="18">
      <alignment horizontal="right"/>
    </xf>
    <xf applyAlignment="1" borderId="127" fillId="3" fontId="55" numFmtId="165" pivotButton="0" quotePrefix="0" xfId="43">
      <alignment horizontal="left"/>
    </xf>
    <xf applyAlignment="1" borderId="126" fillId="5" fontId="24" numFmtId="165" pivotButton="0" quotePrefix="0" xfId="43">
      <alignment horizontal="left"/>
    </xf>
    <xf applyAlignment="1" borderId="126" fillId="9" fontId="24" numFmtId="165" pivotButton="0" quotePrefix="0" xfId="43">
      <alignment horizontal="left"/>
    </xf>
    <xf applyAlignment="1" borderId="132" fillId="9" fontId="24" numFmtId="165" pivotButton="0" quotePrefix="0" xfId="43">
      <alignment horizontal="left"/>
    </xf>
    <xf applyAlignment="1" borderId="132" fillId="9" fontId="24" numFmtId="3" pivotButton="0" quotePrefix="0" xfId="18">
      <alignment horizontal="right"/>
    </xf>
    <xf applyAlignment="1" borderId="127" fillId="0" fontId="27" numFmtId="164" pivotButton="0" quotePrefix="0" xfId="18">
      <alignment vertical="center"/>
    </xf>
    <xf applyAlignment="1" borderId="127" fillId="0" fontId="132" numFmtId="165" pivotButton="0" quotePrefix="0" xfId="43">
      <alignment vertical="center"/>
    </xf>
    <xf applyAlignment="1" borderId="127" fillId="0" fontId="35" numFmtId="165" pivotButton="0" quotePrefix="0" xfId="43">
      <alignment vertical="center"/>
    </xf>
    <xf applyAlignment="1" borderId="127" fillId="0" fontId="8" numFmtId="164" pivotButton="0" quotePrefix="0" xfId="18">
      <alignment vertical="center"/>
    </xf>
    <xf applyAlignment="1" borderId="127" fillId="0" fontId="133" numFmtId="165" pivotButton="0" quotePrefix="0" xfId="43">
      <alignment vertical="center"/>
    </xf>
    <xf applyAlignment="1" borderId="127" fillId="0" fontId="45" numFmtId="165" pivotButton="0" quotePrefix="0" xfId="43">
      <alignment vertical="center"/>
    </xf>
    <xf applyAlignment="1" borderId="127" fillId="0" fontId="27" numFmtId="164" pivotButton="0" quotePrefix="0" xfId="18">
      <alignment vertical="center"/>
    </xf>
    <xf applyAlignment="1" borderId="127" fillId="0" fontId="132" numFmtId="165" pivotButton="0" quotePrefix="0" xfId="43">
      <alignment vertical="center"/>
    </xf>
    <xf applyAlignment="1" borderId="127" fillId="0" fontId="35" numFmtId="165" pivotButton="0" quotePrefix="0" xfId="43">
      <alignment vertical="center"/>
    </xf>
    <xf applyAlignment="1" borderId="29" fillId="0" fontId="132" numFmtId="165" pivotButton="0" quotePrefix="0" xfId="43">
      <alignment vertical="center"/>
    </xf>
    <xf applyAlignment="1" borderId="54" fillId="0" fontId="27" numFmtId="164" pivotButton="0" quotePrefix="0" xfId="18">
      <alignment vertical="center"/>
    </xf>
    <xf applyAlignment="1" borderId="54" fillId="0" fontId="30" numFmtId="165" pivotButton="0" quotePrefix="0" xfId="43">
      <alignment vertical="center"/>
    </xf>
    <xf applyAlignment="1" borderId="29" fillId="0" fontId="30" numFmtId="165" pivotButton="0" quotePrefix="0" xfId="43">
      <alignment vertical="center"/>
    </xf>
    <xf applyAlignment="1" borderId="54" fillId="0" fontId="134" numFmtId="165" pivotButton="0" quotePrefix="0" xfId="43">
      <alignment vertical="center"/>
    </xf>
    <xf applyAlignment="1" borderId="29" fillId="0" fontId="134" numFmtId="165" pivotButton="0" quotePrefix="0" xfId="43">
      <alignment vertical="center"/>
    </xf>
    <xf applyAlignment="1" borderId="33" fillId="0" fontId="134" numFmtId="165" pivotButton="0" quotePrefix="0" xfId="43">
      <alignment vertical="center"/>
    </xf>
    <xf applyAlignment="1" borderId="48" fillId="0" fontId="27" numFmtId="164" pivotButton="0" quotePrefix="0" xfId="18">
      <alignment vertical="center"/>
    </xf>
    <xf applyAlignment="1" borderId="48" fillId="0" fontId="134" numFmtId="165" pivotButton="0" quotePrefix="0" xfId="43">
      <alignment vertical="center"/>
    </xf>
    <xf applyAlignment="1" borderId="133" fillId="0" fontId="27" numFmtId="164" pivotButton="0" quotePrefix="0" xfId="18">
      <alignment vertical="center"/>
    </xf>
    <xf borderId="54" fillId="0" fontId="28" numFmtId="165" pivotButton="0" quotePrefix="0" xfId="43"/>
    <xf borderId="0" fillId="0" fontId="28" numFmtId="165" pivotButton="0" quotePrefix="0" xfId="43"/>
    <xf applyAlignment="1" borderId="133" fillId="0" fontId="52" numFmtId="165" pivotButton="0" quotePrefix="0" xfId="14">
      <alignment horizontal="center" vertical="center"/>
    </xf>
    <xf borderId="0" fillId="0" fontId="3" numFmtId="164" pivotButton="0" quotePrefix="0" xfId="22"/>
    <xf applyAlignment="1" applyProtection="1" borderId="133" fillId="0" fontId="73" numFmtId="174" pivotButton="0" quotePrefix="0" xfId="0">
      <alignment vertical="center"/>
      <protection hidden="0" locked="0"/>
    </xf>
    <xf applyAlignment="1" applyProtection="1" borderId="134" fillId="0" fontId="82" numFmtId="174" pivotButton="0" quotePrefix="0" xfId="0">
      <alignment horizontal="center" vertical="center"/>
      <protection hidden="0" locked="0"/>
    </xf>
    <xf borderId="0" fillId="51" fontId="5" numFmtId="165" pivotButton="0" quotePrefix="0" xfId="43"/>
    <xf applyAlignment="1" borderId="135" fillId="4" fontId="8" numFmtId="38" pivotButton="0" quotePrefix="0" xfId="39">
      <alignment vertical="center"/>
    </xf>
    <xf applyAlignment="1" borderId="136" fillId="13" fontId="8" numFmtId="38" pivotButton="0" quotePrefix="0" xfId="39">
      <alignment vertical="center"/>
    </xf>
    <xf applyAlignment="1" borderId="54" fillId="13" fontId="8" numFmtId="38" pivotButton="0" quotePrefix="0" xfId="39">
      <alignment vertical="center"/>
    </xf>
    <xf borderId="0" fillId="0" fontId="0" numFmtId="188" pivotButton="0" quotePrefix="0" xfId="0"/>
    <xf applyAlignment="1" borderId="40" fillId="0" fontId="52" numFmtId="168" pivotButton="0" quotePrefix="0" xfId="29">
      <alignment horizontal="center" vertical="center"/>
    </xf>
    <xf applyAlignment="1" borderId="40" fillId="0" fontId="53" numFmtId="171" pivotButton="0" quotePrefix="0" xfId="29">
      <alignment horizontal="center" vertical="center" wrapText="1"/>
    </xf>
    <xf borderId="40" fillId="0" fontId="53" numFmtId="172" pivotButton="0" quotePrefix="0" xfId="29"/>
    <xf borderId="22" fillId="0" fontId="53" numFmtId="172" pivotButton="0" quotePrefix="0" xfId="29"/>
    <xf borderId="40" fillId="0" fontId="53" numFmtId="172" pivotButton="0" quotePrefix="0" xfId="61"/>
    <xf borderId="109" fillId="0" fontId="53" numFmtId="172" pivotButton="0" quotePrefix="0" xfId="61"/>
    <xf borderId="109" fillId="0" fontId="53" numFmtId="172" pivotButton="0" quotePrefix="0" xfId="29"/>
    <xf borderId="22" fillId="0" fontId="53" numFmtId="172" pivotButton="0" quotePrefix="0" xfId="61"/>
    <xf borderId="111" fillId="0" fontId="53" numFmtId="172" pivotButton="0" quotePrefix="0" xfId="61"/>
    <xf borderId="111" fillId="0" fontId="53" numFmtId="172" pivotButton="0" quotePrefix="0" xfId="29"/>
    <xf borderId="127" fillId="0" fontId="0" numFmtId="164" pivotButton="0" quotePrefix="0" xfId="0"/>
    <xf applyAlignment="1" borderId="127" fillId="0" fontId="53" numFmtId="168" pivotButton="0" quotePrefix="0" xfId="29">
      <alignment vertical="center"/>
    </xf>
    <xf borderId="40" fillId="0" fontId="58" numFmtId="172" pivotButton="0" quotePrefix="0" xfId="29"/>
    <xf borderId="0" fillId="0" fontId="58" numFmtId="172" pivotButton="0" quotePrefix="0" xfId="61"/>
    <xf borderId="22" fillId="0" fontId="58" numFmtId="172" pivotButton="0" quotePrefix="0" xfId="29"/>
    <xf applyAlignment="1" borderId="40" fillId="0" fontId="52" numFmtId="165" pivotButton="0" quotePrefix="0" xfId="14">
      <alignment horizontal="center" vertical="center"/>
    </xf>
    <xf applyAlignment="1" borderId="40" fillId="0" fontId="53" numFmtId="165" pivotButton="0" quotePrefix="0" xfId="14">
      <alignment horizontal="center" vertical="center"/>
    </xf>
    <xf applyAlignment="1" borderId="0" fillId="0" fontId="59" numFmtId="165" pivotButton="0" quotePrefix="0" xfId="14">
      <alignment horizontal="center" vertical="center"/>
    </xf>
    <xf applyAlignment="1" borderId="40" fillId="0" fontId="58" numFmtId="165" pivotButton="0" quotePrefix="0" xfId="14">
      <alignment horizontal="center" vertical="center"/>
    </xf>
    <xf applyAlignment="1" borderId="40" fillId="0" fontId="53" numFmtId="173" pivotButton="0" quotePrefix="0" xfId="14">
      <alignment horizontal="center" vertical="center"/>
    </xf>
    <xf applyAlignment="1" borderId="27" fillId="0" fontId="130" numFmtId="40" pivotButton="0" quotePrefix="0" xfId="39">
      <alignment vertical="center"/>
    </xf>
    <xf borderId="127" fillId="37" fontId="135" numFmtId="177" pivotButton="0" quotePrefix="0" xfId="0"/>
    <xf borderId="0" fillId="0" fontId="0" numFmtId="174" pivotButton="0" quotePrefix="0" xfId="0"/>
    <xf applyAlignment="1" borderId="0" fillId="0" fontId="0" numFmtId="171" pivotButton="0" quotePrefix="0" xfId="0">
      <alignment horizontal="center"/>
    </xf>
    <xf applyAlignment="1" borderId="127" fillId="0" fontId="0" numFmtId="171" pivotButton="0" quotePrefix="0" xfId="0">
      <alignment horizontal="center"/>
    </xf>
    <xf applyAlignment="1" borderId="127" fillId="28" fontId="136" numFmtId="171" pivotButton="0" quotePrefix="0" xfId="0">
      <alignment horizontal="center"/>
    </xf>
    <xf applyAlignment="1" borderId="127" fillId="3" fontId="136" numFmtId="171" pivotButton="0" quotePrefix="0" xfId="0">
      <alignment horizontal="center"/>
    </xf>
    <xf applyAlignment="1" borderId="127" fillId="60" fontId="136" numFmtId="171" pivotButton="0" quotePrefix="0" xfId="0">
      <alignment horizontal="center"/>
    </xf>
    <xf borderId="127" fillId="28" fontId="136" numFmtId="171" pivotButton="0" quotePrefix="0" xfId="0"/>
    <xf applyAlignment="1" borderId="127" fillId="0" fontId="136" numFmtId="164" pivotButton="0" quotePrefix="0" xfId="0">
      <alignment horizontal="center"/>
    </xf>
    <xf applyAlignment="1" borderId="127" fillId="28" fontId="0" numFmtId="174" pivotButton="0" quotePrefix="0" xfId="0">
      <alignment horizontal="center"/>
    </xf>
    <xf applyAlignment="1" borderId="127" fillId="3" fontId="0" numFmtId="174" pivotButton="0" quotePrefix="0" xfId="0">
      <alignment horizontal="center"/>
    </xf>
    <xf applyAlignment="1" borderId="127" fillId="60" fontId="0" numFmtId="174" pivotButton="0" quotePrefix="0" xfId="0">
      <alignment horizontal="center"/>
    </xf>
    <xf applyAlignment="1" borderId="127" fillId="0" fontId="27" numFmtId="164" pivotButton="0" quotePrefix="0" xfId="18">
      <alignment horizontal="center" vertical="center"/>
    </xf>
    <xf borderId="0" fillId="61" fontId="5" numFmtId="164" pivotButton="0" quotePrefix="0" xfId="0"/>
    <xf borderId="0" fillId="0" fontId="137" numFmtId="9" pivotButton="0" quotePrefix="0" xfId="50"/>
    <xf applyAlignment="1" borderId="28" fillId="0" fontId="8" numFmtId="40" pivotButton="0" quotePrefix="0" xfId="39">
      <alignment vertical="center"/>
    </xf>
    <xf applyAlignment="1" borderId="28" fillId="0" fontId="8" numFmtId="40" pivotButton="0" quotePrefix="0" xfId="15">
      <alignment vertical="center"/>
    </xf>
    <xf applyAlignment="1" borderId="27" fillId="0" fontId="8" numFmtId="40" pivotButton="0" quotePrefix="0" xfId="39">
      <alignment vertical="center"/>
    </xf>
    <xf applyAlignment="1" borderId="27" fillId="20" fontId="130" numFmtId="38" pivotButton="0" quotePrefix="0" xfId="15">
      <alignment vertical="center"/>
    </xf>
    <xf applyAlignment="1" borderId="0" fillId="0" fontId="22" numFmtId="164" pivotButton="0" quotePrefix="0" xfId="0">
      <alignment horizontal="left"/>
    </xf>
    <xf borderId="0" fillId="32" fontId="63" numFmtId="164" pivotButton="0" quotePrefix="0" xfId="0"/>
    <xf borderId="0" fillId="32" fontId="63" numFmtId="9" pivotButton="0" quotePrefix="0" xfId="50"/>
    <xf borderId="0" fillId="3" fontId="68" numFmtId="164" pivotButton="0" quotePrefix="0" xfId="0"/>
    <xf applyAlignment="1" applyProtection="1" borderId="133" fillId="0" fontId="75" numFmtId="174" pivotButton="0" quotePrefix="0" xfId="0">
      <alignment horizontal="center" vertical="center"/>
      <protection hidden="0" locked="0"/>
    </xf>
    <xf applyAlignment="1" borderId="0" fillId="3" fontId="82" numFmtId="165" pivotButton="0" quotePrefix="0" xfId="43">
      <alignment horizontal="right"/>
    </xf>
    <xf borderId="132" fillId="0" fontId="73" numFmtId="174" pivotButton="0" quotePrefix="0" xfId="0"/>
    <xf applyAlignment="1" borderId="137" fillId="0" fontId="76" numFmtId="174" pivotButton="0" quotePrefix="0" xfId="0">
      <alignment shrinkToFit="1"/>
    </xf>
    <xf borderId="132" fillId="0" fontId="73" numFmtId="174" pivotButton="0" quotePrefix="0" xfId="0"/>
    <xf applyAlignment="1" borderId="137" fillId="0" fontId="76" numFmtId="174" pivotButton="0" quotePrefix="0" xfId="0">
      <alignment shrinkToFit="1"/>
    </xf>
    <xf applyAlignment="1" borderId="0" fillId="10" fontId="17" numFmtId="58" pivotButton="0" quotePrefix="0" xfId="18">
      <alignment horizontal="center" vertical="center"/>
    </xf>
    <xf borderId="0" fillId="10" fontId="17" numFmtId="164" pivotButton="0" quotePrefix="0" xfId="0"/>
    <xf borderId="132" fillId="0" fontId="43" numFmtId="164" pivotButton="0" quotePrefix="0" xfId="0"/>
    <xf borderId="133" fillId="0" fontId="130" numFmtId="164" pivotButton="0" quotePrefix="0" xfId="0"/>
    <xf borderId="127" fillId="0" fontId="130" numFmtId="164" pivotButton="0" quotePrefix="0" xfId="0"/>
    <xf applyAlignment="1" borderId="138" fillId="0" fontId="35" numFmtId="165" pivotButton="0" quotePrefix="0" xfId="43">
      <alignment vertical="center"/>
    </xf>
    <xf applyAlignment="1" borderId="57" fillId="0" fontId="27" numFmtId="164" pivotButton="0" quotePrefix="0" xfId="18">
      <alignment horizontal="center" vertical="center"/>
    </xf>
    <xf applyAlignment="1" borderId="57" fillId="0" fontId="27" numFmtId="164" pivotButton="0" quotePrefix="0" xfId="18">
      <alignment vertical="center"/>
    </xf>
    <xf applyAlignment="1" borderId="57" fillId="0" fontId="132" numFmtId="165" pivotButton="0" quotePrefix="0" xfId="43">
      <alignment vertical="center"/>
    </xf>
    <xf applyAlignment="1" borderId="23" fillId="0" fontId="35" numFmtId="165" pivotButton="0" quotePrefix="0" xfId="43">
      <alignment vertical="center"/>
    </xf>
    <xf applyAlignment="1" borderId="49" fillId="0" fontId="35" numFmtId="165" pivotButton="0" quotePrefix="0" xfId="43">
      <alignment vertical="center"/>
    </xf>
    <xf borderId="34" fillId="0" fontId="27" numFmtId="164" pivotButton="0" quotePrefix="0" xfId="0"/>
    <xf applyAlignment="1" borderId="32" fillId="0" fontId="27" numFmtId="164" pivotButton="0" quotePrefix="0" xfId="18">
      <alignment horizontal="center" vertical="center"/>
    </xf>
    <xf applyAlignment="1" borderId="32" fillId="0" fontId="27" numFmtId="164" pivotButton="0" quotePrefix="0" xfId="18">
      <alignment vertical="center"/>
    </xf>
    <xf applyAlignment="1" borderId="32" fillId="0" fontId="27" numFmtId="165" pivotButton="0" quotePrefix="0" xfId="43">
      <alignment vertical="center"/>
    </xf>
    <xf applyAlignment="1" borderId="139" fillId="0" fontId="35" numFmtId="165" pivotButton="0" quotePrefix="0" xfId="43">
      <alignment vertical="center"/>
    </xf>
    <xf applyAlignment="1" borderId="5" fillId="59" fontId="55" numFmtId="165" pivotButton="0" quotePrefix="0" xfId="43">
      <alignment vertical="center"/>
    </xf>
    <xf applyAlignment="1" borderId="5" fillId="61" fontId="55" numFmtId="165" pivotButton="0" quotePrefix="0" xfId="43">
      <alignment vertical="center"/>
    </xf>
    <xf applyAlignment="1" borderId="132" fillId="0" fontId="43" numFmtId="172" pivotButton="0" quotePrefix="0" xfId="0">
      <alignment horizontal="center"/>
    </xf>
    <xf borderId="48" fillId="0" fontId="130" numFmtId="165" pivotButton="0" quotePrefix="0" xfId="43"/>
    <xf applyAlignment="1" borderId="5" fillId="61" fontId="28" numFmtId="165" pivotButton="0" quotePrefix="0" xfId="43">
      <alignment vertical="center"/>
    </xf>
    <xf applyAlignment="1" borderId="49" fillId="0" fontId="43" numFmtId="172" pivotButton="0" quotePrefix="0" xfId="0">
      <alignment horizontal="center"/>
    </xf>
    <xf applyAlignment="1" borderId="138" fillId="59" fontId="55" numFmtId="165" pivotButton="0" quotePrefix="0" xfId="43">
      <alignment vertical="center"/>
    </xf>
    <xf applyAlignment="1" borderId="138" fillId="61" fontId="28" numFmtId="165" pivotButton="0" quotePrefix="0" xfId="43">
      <alignment vertical="center"/>
    </xf>
    <xf borderId="48" fillId="0" fontId="130" numFmtId="164" pivotButton="0" quotePrefix="0" xfId="0"/>
    <xf applyAlignment="1" borderId="140" fillId="59" fontId="55" numFmtId="165" pivotButton="0" quotePrefix="0" xfId="43">
      <alignment vertical="center"/>
    </xf>
    <xf applyAlignment="1" borderId="140" fillId="61" fontId="28" numFmtId="165" pivotButton="0" quotePrefix="0" xfId="43">
      <alignment vertical="center"/>
    </xf>
    <xf applyAlignment="1" borderId="49" fillId="59" fontId="55" numFmtId="165" pivotButton="0" quotePrefix="0" xfId="43">
      <alignment vertical="center"/>
    </xf>
    <xf applyAlignment="1" borderId="49" fillId="61" fontId="28" numFmtId="165" pivotButton="0" quotePrefix="0" xfId="43">
      <alignment vertical="center"/>
    </xf>
    <xf borderId="48" fillId="0" fontId="130" numFmtId="165" pivotButton="0" quotePrefix="0" xfId="43"/>
    <xf borderId="48" fillId="62" fontId="130" numFmtId="165" pivotButton="0" quotePrefix="0" xfId="43"/>
    <xf applyAlignment="1" borderId="49" fillId="0" fontId="36" numFmtId="165" pivotButton="0" quotePrefix="0" xfId="43">
      <alignment vertical="center"/>
    </xf>
    <xf borderId="48" fillId="0" fontId="27" numFmtId="164" pivotButton="0" quotePrefix="0" xfId="0"/>
    <xf borderId="5" fillId="0" fontId="28" numFmtId="165" pivotButton="0" quotePrefix="0" xfId="43"/>
    <xf borderId="5" fillId="61" fontId="28" numFmtId="165" pivotButton="0" quotePrefix="0" xfId="43"/>
    <xf borderId="49" fillId="0" fontId="43" numFmtId="164" pivotButton="0" quotePrefix="0" xfId="0"/>
    <xf borderId="0" fillId="61" fontId="28" numFmtId="165" pivotButton="0" quotePrefix="0" xfId="43"/>
    <xf borderId="49" fillId="0" fontId="27" numFmtId="164" pivotButton="0" quotePrefix="0" xfId="0"/>
    <xf applyAlignment="1" borderId="127" fillId="61" fontId="28" numFmtId="165" pivotButton="0" quotePrefix="0" xfId="43">
      <alignment vertical="center"/>
    </xf>
    <xf borderId="5" fillId="0" fontId="27" numFmtId="164" pivotButton="0" quotePrefix="0" xfId="0"/>
    <xf borderId="54" fillId="0" fontId="130" numFmtId="165" pivotButton="0" quotePrefix="0" xfId="43"/>
    <xf applyAlignment="1" borderId="141" fillId="16" fontId="8" numFmtId="38" pivotButton="0" quotePrefix="0" xfId="39">
      <alignment vertical="center"/>
    </xf>
    <xf applyAlignment="1" borderId="142" fillId="16" fontId="8" numFmtId="38" pivotButton="0" quotePrefix="0" xfId="39">
      <alignment vertical="center"/>
    </xf>
    <xf applyAlignment="1" borderId="45" fillId="0" fontId="47" numFmtId="169" pivotButton="0" quotePrefix="0" xfId="24">
      <alignment horizontal="right" vertical="center"/>
    </xf>
    <xf applyAlignment="1" borderId="54" fillId="35" fontId="88" numFmtId="178" pivotButton="0" quotePrefix="0" xfId="0">
      <alignment horizontal="center"/>
    </xf>
    <xf borderId="132" fillId="0" fontId="73" numFmtId="174" pivotButton="0" quotePrefix="0" xfId="0"/>
    <xf borderId="137" fillId="0" fontId="73" numFmtId="174" pivotButton="0" quotePrefix="0" xfId="0"/>
    <xf borderId="137" fillId="0" fontId="73" numFmtId="165" pivotButton="0" quotePrefix="0" xfId="32"/>
    <xf borderId="144" fillId="0" fontId="73" numFmtId="174" pivotButton="0" quotePrefix="0" xfId="0"/>
    <xf borderId="49" fillId="0" fontId="73" numFmtId="165" pivotButton="0" quotePrefix="0" xfId="32"/>
    <xf borderId="49" fillId="0" fontId="73" numFmtId="165" pivotButton="0" quotePrefix="0" xfId="32"/>
    <xf borderId="5" fillId="0" fontId="73" numFmtId="165" pivotButton="0" quotePrefix="0" xfId="32"/>
    <xf borderId="7" fillId="0" fontId="73" numFmtId="165" pivotButton="0" quotePrefix="0" xfId="32"/>
    <xf applyProtection="1" borderId="145" fillId="3" fontId="140" numFmtId="38" pivotButton="0" quotePrefix="0" xfId="0">
      <protection hidden="0" locked="0"/>
    </xf>
    <xf borderId="0" fillId="0" fontId="131" numFmtId="174" pivotButton="0" quotePrefix="0" xfId="0"/>
    <xf borderId="0" fillId="0" fontId="135" numFmtId="177" pivotButton="0" quotePrefix="0" xfId="0"/>
    <xf applyAlignment="1" borderId="0" fillId="0" fontId="53" numFmtId="171" pivotButton="0" quotePrefix="0" xfId="14">
      <alignment horizontal="center" vertical="center"/>
    </xf>
    <xf borderId="48" fillId="13" fontId="8" numFmtId="9" pivotButton="0" quotePrefix="0" xfId="50"/>
    <xf borderId="133" fillId="4" fontId="8" numFmtId="164" pivotButton="0" quotePrefix="0" xfId="24"/>
    <xf applyAlignment="1" borderId="146" fillId="4" fontId="8" numFmtId="38" pivotButton="0" quotePrefix="0" xfId="39">
      <alignment vertical="center"/>
    </xf>
    <xf borderId="48" fillId="14" fontId="8" numFmtId="164" pivotButton="0" quotePrefix="0" xfId="24"/>
    <xf applyAlignment="1" borderId="28" fillId="14" fontId="27" numFmtId="38" pivotButton="0" quotePrefix="0" xfId="39">
      <alignment vertical="center"/>
    </xf>
    <xf applyAlignment="1" borderId="19" fillId="14" fontId="8" numFmtId="38" pivotButton="0" quotePrefix="0" xfId="39">
      <alignment vertical="center"/>
    </xf>
    <xf applyAlignment="1" borderId="141" fillId="15" fontId="24" numFmtId="164" pivotButton="0" quotePrefix="0" xfId="39">
      <alignment horizontal="center" vertical="center"/>
    </xf>
    <xf applyAlignment="1" borderId="135" fillId="12" fontId="8" numFmtId="38" pivotButton="0" quotePrefix="0" xfId="39">
      <alignment vertical="center"/>
    </xf>
    <xf applyAlignment="1" borderId="135" fillId="0" fontId="8" numFmtId="38" pivotButton="0" quotePrefix="0" xfId="39">
      <alignment vertical="center"/>
    </xf>
    <xf applyAlignment="1" borderId="135" fillId="0" fontId="27" numFmtId="38" pivotButton="0" quotePrefix="0" xfId="39">
      <alignment vertical="center"/>
    </xf>
    <xf applyAlignment="1" borderId="136" fillId="14" fontId="8" numFmtId="38" pivotButton="0" quotePrefix="0" xfId="39">
      <alignment vertical="center"/>
    </xf>
    <xf applyAlignment="1" borderId="148" fillId="12" fontId="8" numFmtId="38" pivotButton="0" quotePrefix="0" xfId="39">
      <alignment vertical="center"/>
    </xf>
    <xf applyAlignment="1" borderId="147" fillId="0" fontId="8" numFmtId="38" pivotButton="0" quotePrefix="0" xfId="15">
      <alignment vertical="center"/>
    </xf>
    <xf applyAlignment="1" borderId="147" fillId="0" fontId="8" numFmtId="38" pivotButton="0" quotePrefix="0" xfId="39">
      <alignment vertical="center"/>
    </xf>
    <xf applyAlignment="1" borderId="147" fillId="0" fontId="11" numFmtId="38" pivotButton="0" quotePrefix="0" xfId="39">
      <alignment vertical="center"/>
    </xf>
    <xf borderId="127" fillId="4" fontId="8" numFmtId="164" pivotButton="0" quotePrefix="0" xfId="24"/>
    <xf applyAlignment="1" borderId="125" fillId="4" fontId="8" numFmtId="38" pivotButton="0" quotePrefix="0" xfId="39">
      <alignment vertical="center"/>
    </xf>
    <xf applyAlignment="1" borderId="6" fillId="13" fontId="16" numFmtId="174" pivotButton="0" quotePrefix="1" xfId="24">
      <alignment horizontal="left" wrapText="1"/>
    </xf>
    <xf applyAlignment="1" borderId="149" fillId="0" fontId="47" numFmtId="38" pivotButton="0" quotePrefix="0" xfId="39">
      <alignment vertical="center"/>
    </xf>
    <xf applyAlignment="1" borderId="6" fillId="13" fontId="1" numFmtId="174" pivotButton="0" quotePrefix="1" xfId="24">
      <alignment horizontal="left" wrapText="1"/>
    </xf>
    <xf borderId="151" fillId="0" fontId="11" numFmtId="38" pivotButton="0" quotePrefix="0" xfId="0"/>
    <xf applyAlignment="1" borderId="28" fillId="0" fontId="41" numFmtId="38" pivotButton="0" quotePrefix="0" xfId="15">
      <alignment vertical="center"/>
    </xf>
    <xf applyAlignment="1" borderId="28" fillId="0" fontId="141" numFmtId="38" pivotButton="0" quotePrefix="0" xfId="15">
      <alignment vertical="center"/>
    </xf>
    <xf applyAlignment="1" borderId="50" fillId="0" fontId="141" numFmtId="38" pivotButton="0" quotePrefix="0" xfId="15">
      <alignment vertical="center"/>
    </xf>
    <xf borderId="48" fillId="3" fontId="11" numFmtId="164" pivotButton="0" quotePrefix="0" xfId="24"/>
    <xf borderId="0" fillId="0" fontId="5" numFmtId="49" pivotButton="0" quotePrefix="0" xfId="0"/>
    <xf applyAlignment="1" borderId="0" fillId="56" fontId="135" numFmtId="165" pivotButton="0" quotePrefix="0" xfId="43">
      <alignment horizontal="left"/>
    </xf>
    <xf borderId="0" fillId="0" fontId="22" numFmtId="171" pivotButton="0" quotePrefix="0" xfId="0"/>
    <xf applyAlignment="1" borderId="0" fillId="0" fontId="5" numFmtId="38" pivotButton="0" quotePrefix="0" xfId="39">
      <alignment horizontal="center" vertical="center"/>
    </xf>
    <xf applyAlignment="1" borderId="0" fillId="0" fontId="142" numFmtId="38" pivotButton="0" quotePrefix="0" xfId="39">
      <alignment horizontal="center" vertical="center"/>
    </xf>
    <xf borderId="0" fillId="0" fontId="144" numFmtId="164" pivotButton="0" quotePrefix="0" xfId="0"/>
    <xf borderId="0" fillId="0" fontId="144" numFmtId="174" pivotButton="0" quotePrefix="0" xfId="0"/>
    <xf borderId="0" fillId="0" fontId="62" numFmtId="164" pivotButton="0" quotePrefix="0" xfId="0"/>
    <xf borderId="0" fillId="0" fontId="62" numFmtId="9" pivotButton="0" quotePrefix="0" xfId="50"/>
    <xf borderId="0" fillId="0" fontId="145" numFmtId="164" pivotButton="0" quotePrefix="0" xfId="0"/>
    <xf borderId="0" fillId="0" fontId="145" numFmtId="174" pivotButton="0" quotePrefix="0" xfId="0"/>
    <xf applyAlignment="1" borderId="0" fillId="63" fontId="143" numFmtId="174" pivotButton="0" quotePrefix="0" xfId="0">
      <alignment wrapText="1"/>
    </xf>
    <xf borderId="0" fillId="63" fontId="62" numFmtId="189" pivotButton="0" quotePrefix="0" xfId="50"/>
    <xf borderId="0" fillId="63" fontId="144" numFmtId="164" pivotButton="0" quotePrefix="0" xfId="0"/>
    <xf borderId="0" fillId="63" fontId="144" numFmtId="174" pivotButton="0" quotePrefix="0" xfId="0"/>
    <xf borderId="0" fillId="63" fontId="62" numFmtId="164" pivotButton="0" quotePrefix="0" xfId="0"/>
    <xf borderId="0" fillId="63" fontId="62" numFmtId="9" pivotButton="0" quotePrefix="0" xfId="50"/>
    <xf borderId="0" fillId="63" fontId="145" numFmtId="164" pivotButton="0" quotePrefix="0" xfId="0"/>
    <xf borderId="0" fillId="63" fontId="145" numFmtId="174" pivotButton="0" quotePrefix="0" xfId="0"/>
    <xf borderId="0" fillId="63" fontId="146" numFmtId="174" pivotButton="0" quotePrefix="0" xfId="0"/>
    <xf applyAlignment="1" borderId="0" fillId="0" fontId="24" numFmtId="38" pivotButton="0" quotePrefix="0" xfId="39">
      <alignment vertical="center"/>
    </xf>
    <xf applyAlignment="1" borderId="133" fillId="0" fontId="41" numFmtId="169" pivotButton="0" quotePrefix="0" xfId="24">
      <alignment horizontal="center"/>
    </xf>
    <xf applyAlignment="1" borderId="137" fillId="0" fontId="5" numFmtId="38" pivotButton="0" quotePrefix="0" xfId="39">
      <alignment horizontal="center" vertical="center"/>
    </xf>
    <xf applyAlignment="1" borderId="144" fillId="0" fontId="47" numFmtId="38" pivotButton="0" quotePrefix="0" xfId="39">
      <alignment vertical="center"/>
    </xf>
    <xf applyAlignment="1" borderId="48" fillId="0" fontId="41" numFmtId="169" pivotButton="0" quotePrefix="0" xfId="24">
      <alignment horizontal="center"/>
    </xf>
    <xf applyAlignment="1" borderId="7" fillId="0" fontId="47" numFmtId="38" pivotButton="0" quotePrefix="0" xfId="39">
      <alignment vertical="center"/>
    </xf>
    <xf applyAlignment="1" borderId="49" fillId="0" fontId="41" numFmtId="169" pivotButton="0" quotePrefix="0" xfId="24">
      <alignment horizontal="center"/>
    </xf>
    <xf applyAlignment="1" borderId="5" fillId="0" fontId="41" numFmtId="169" pivotButton="0" quotePrefix="0" xfId="24">
      <alignment horizontal="center"/>
    </xf>
    <xf borderId="7" fillId="13" fontId="8" numFmtId="164" pivotButton="0" quotePrefix="0" xfId="24"/>
    <xf applyAlignment="1" borderId="48" fillId="13" fontId="8" numFmtId="38" pivotButton="0" quotePrefix="0" xfId="39">
      <alignment vertical="center"/>
    </xf>
    <xf applyAlignment="1" borderId="19" fillId="13" fontId="8" numFmtId="38" pivotButton="0" quotePrefix="0" xfId="39">
      <alignment vertical="center"/>
    </xf>
    <xf borderId="137" fillId="0" fontId="11" numFmtId="169" pivotButton="0" quotePrefix="0" xfId="24"/>
    <xf applyAlignment="1" borderId="137" fillId="0" fontId="41" numFmtId="169" pivotButton="0" quotePrefix="0" xfId="24">
      <alignment horizontal="center"/>
    </xf>
    <xf borderId="3" fillId="0" fontId="11" numFmtId="169" pivotButton="0" quotePrefix="0" xfId="24"/>
    <xf applyAlignment="1" borderId="3" fillId="0" fontId="41" numFmtId="169" pivotButton="0" quotePrefix="0" xfId="24">
      <alignment horizontal="center"/>
    </xf>
    <xf borderId="3" fillId="0" fontId="22" numFmtId="9" pivotButton="0" quotePrefix="0" xfId="50"/>
    <xf applyAlignment="1" borderId="0" fillId="0" fontId="41" numFmtId="38" pivotButton="0" quotePrefix="0" xfId="39">
      <alignment horizontal="center" vertical="center"/>
    </xf>
    <xf applyAlignment="1" borderId="3" fillId="0" fontId="41" numFmtId="38" pivotButton="0" quotePrefix="0" xfId="39">
      <alignment horizontal="center" vertical="center"/>
    </xf>
    <xf applyAlignment="1" borderId="0" fillId="0" fontId="130" numFmtId="38" pivotButton="0" quotePrefix="0" xfId="39">
      <alignment horizontal="center" vertical="center"/>
    </xf>
    <xf applyAlignment="1" borderId="0" fillId="24" fontId="22" numFmtId="164" pivotButton="0" quotePrefix="0" xfId="0">
      <alignment horizontal="center"/>
    </xf>
    <xf borderId="0" fillId="24" fontId="22" numFmtId="174" pivotButton="0" quotePrefix="0" xfId="0"/>
    <xf borderId="0" fillId="24" fontId="22" numFmtId="9" pivotButton="0" quotePrefix="0" xfId="50"/>
    <xf borderId="0" fillId="24" fontId="22" numFmtId="164" pivotButton="0" quotePrefix="0" xfId="0"/>
    <xf borderId="0" fillId="24" fontId="71" numFmtId="165" pivotButton="0" quotePrefix="0" xfId="43"/>
    <xf applyAlignment="1" borderId="137" fillId="0" fontId="24" numFmtId="38" pivotButton="0" quotePrefix="0" xfId="39">
      <alignment vertical="center"/>
    </xf>
    <xf applyAlignment="1" borderId="137" fillId="0" fontId="16" numFmtId="38" pivotButton="0" quotePrefix="0" xfId="39">
      <alignment horizontal="center" vertical="center"/>
    </xf>
    <xf applyAlignment="1" borderId="144" fillId="0" fontId="16" numFmtId="38" pivotButton="0" quotePrefix="0" xfId="39">
      <alignment horizontal="center" vertical="center"/>
    </xf>
    <xf applyAlignment="1" borderId="7" fillId="0" fontId="16" numFmtId="38" pivotButton="0" quotePrefix="0" xfId="39">
      <alignment horizontal="center" vertical="center"/>
    </xf>
    <xf applyAlignment="1" borderId="152" fillId="0" fontId="47" numFmtId="169" pivotButton="0" quotePrefix="0" xfId="24">
      <alignment horizontal="center"/>
    </xf>
    <xf applyAlignment="1" borderId="132" fillId="0" fontId="41" numFmtId="169" pivotButton="0" quotePrefix="0" xfId="24">
      <alignment horizontal="center"/>
    </xf>
    <xf applyAlignment="1" borderId="54" fillId="0" fontId="41" numFmtId="169" pivotButton="0" quotePrefix="0" xfId="24">
      <alignment horizontal="center"/>
    </xf>
    <xf applyAlignment="1" borderId="137" fillId="0" fontId="41" numFmtId="38" pivotButton="0" quotePrefix="0" xfId="39">
      <alignment horizontal="center" vertical="center"/>
    </xf>
    <xf applyAlignment="1" borderId="144" fillId="0" fontId="41" numFmtId="38" pivotButton="0" quotePrefix="0" xfId="39">
      <alignment horizontal="center" vertical="center"/>
    </xf>
    <xf applyAlignment="1" borderId="7" fillId="0" fontId="41" numFmtId="38" pivotButton="0" quotePrefix="0" xfId="39">
      <alignment horizontal="center" vertical="center"/>
    </xf>
    <xf applyAlignment="1" borderId="4" fillId="0" fontId="41" numFmtId="38" pivotButton="0" quotePrefix="0" xfId="39">
      <alignment horizontal="center" vertical="center"/>
    </xf>
    <xf applyAlignment="1" borderId="3" fillId="0" fontId="130" numFmtId="38" pivotButton="0" quotePrefix="0" xfId="39">
      <alignment horizontal="center" vertical="center"/>
    </xf>
    <xf applyAlignment="1" borderId="0" fillId="64" fontId="143" numFmtId="174" pivotButton="0" quotePrefix="0" xfId="0">
      <alignment wrapText="1"/>
    </xf>
    <xf borderId="0" fillId="64" fontId="62" numFmtId="189" pivotButton="0" quotePrefix="0" xfId="50"/>
    <xf borderId="0" fillId="64" fontId="144" numFmtId="164" pivotButton="0" quotePrefix="0" xfId="0"/>
    <xf borderId="0" fillId="64" fontId="144" numFmtId="174" pivotButton="0" quotePrefix="0" xfId="0"/>
    <xf borderId="0" fillId="64" fontId="62" numFmtId="164" pivotButton="0" quotePrefix="0" xfId="0"/>
    <xf borderId="0" fillId="64" fontId="62" numFmtId="9" pivotButton="0" quotePrefix="0" xfId="50"/>
    <xf borderId="0" fillId="64" fontId="145" numFmtId="164" pivotButton="0" quotePrefix="0" xfId="0"/>
    <xf borderId="0" fillId="64" fontId="145" numFmtId="174" pivotButton="0" quotePrefix="0" xfId="0"/>
    <xf borderId="0" fillId="64" fontId="146" numFmtId="174" pivotButton="0" quotePrefix="0" xfId="0"/>
    <xf borderId="49" fillId="13" fontId="147" numFmtId="169" pivotButton="0" quotePrefix="0" xfId="24"/>
    <xf borderId="49" fillId="13" fontId="148" numFmtId="169" pivotButton="0" quotePrefix="0" xfId="24"/>
    <xf borderId="0" fillId="0" fontId="22" numFmtId="9" pivotButton="0" quotePrefix="0" xfId="50"/>
    <xf borderId="127" fillId="0" fontId="25" numFmtId="164" pivotButton="0" quotePrefix="0" xfId="0"/>
    <xf applyAlignment="1" borderId="0" fillId="0" fontId="149" numFmtId="164" pivotButton="0" quotePrefix="0" xfId="0">
      <alignment horizontal="center" vertical="center"/>
    </xf>
    <xf borderId="0" fillId="0" fontId="25" numFmtId="164" pivotButton="0" quotePrefix="0" xfId="0"/>
    <xf borderId="129" fillId="0" fontId="25" numFmtId="164" pivotButton="0" quotePrefix="0" xfId="0"/>
    <xf borderId="132" fillId="0" fontId="11" numFmtId="169" pivotButton="0" quotePrefix="0" xfId="24"/>
    <xf applyAlignment="1" borderId="137" fillId="0" fontId="47" numFmtId="169" pivotButton="0" quotePrefix="0" xfId="24">
      <alignment horizontal="center"/>
    </xf>
    <xf applyAlignment="1" borderId="137" fillId="0" fontId="47" numFmtId="38" pivotButton="0" quotePrefix="0" xfId="39">
      <alignment horizontal="center" vertical="center"/>
    </xf>
    <xf applyAlignment="1" borderId="144" fillId="0" fontId="47" numFmtId="38" pivotButton="0" quotePrefix="0" xfId="39">
      <alignment horizontal="center" vertical="center"/>
    </xf>
    <xf borderId="49" fillId="0" fontId="11" numFmtId="169" pivotButton="0" quotePrefix="0" xfId="24"/>
    <xf applyAlignment="1" borderId="7" fillId="0" fontId="47" numFmtId="38" pivotButton="0" quotePrefix="0" xfId="39">
      <alignment horizontal="center" vertical="center"/>
    </xf>
    <xf borderId="5" fillId="0" fontId="22" numFmtId="9" pivotButton="0" quotePrefix="0" xfId="50"/>
    <xf applyAlignment="1" borderId="3" fillId="0" fontId="47" numFmtId="169" pivotButton="0" quotePrefix="0" xfId="24">
      <alignment horizontal="center"/>
    </xf>
    <xf applyAlignment="1" borderId="3" fillId="0" fontId="47" numFmtId="38" pivotButton="0" quotePrefix="0" xfId="39">
      <alignment horizontal="center" vertical="center"/>
    </xf>
    <xf applyAlignment="1" borderId="4" fillId="0" fontId="47" numFmtId="38" pivotButton="0" quotePrefix="0" xfId="39">
      <alignment horizontal="center" vertical="center"/>
    </xf>
    <xf applyAlignment="1" borderId="132" fillId="0" fontId="47" numFmtId="38" pivotButton="0" quotePrefix="0" xfId="39">
      <alignment horizontal="center" vertical="center"/>
    </xf>
    <xf applyAlignment="1" borderId="49" fillId="0" fontId="47" numFmtId="38" pivotButton="0" quotePrefix="0" xfId="39">
      <alignment horizontal="center" vertical="center"/>
    </xf>
    <xf applyAlignment="1" borderId="5" fillId="0" fontId="47" numFmtId="38" pivotButton="0" quotePrefix="0" xfId="39">
      <alignment horizontal="center" vertical="center"/>
    </xf>
    <xf applyAlignment="1" borderId="133" fillId="0" fontId="47" numFmtId="169" pivotButton="0" quotePrefix="0" xfId="24">
      <alignment horizontal="center"/>
    </xf>
    <xf applyAlignment="1" borderId="48" fillId="0" fontId="47" numFmtId="169" pivotButton="0" quotePrefix="0" xfId="24">
      <alignment horizontal="center"/>
    </xf>
    <xf applyAlignment="1" borderId="54" fillId="0" fontId="47" numFmtId="169" pivotButton="0" quotePrefix="0" xfId="24">
      <alignment horizontal="center"/>
    </xf>
    <xf applyAlignment="1" borderId="40" fillId="16" fontId="8" numFmtId="164" pivotButton="0" quotePrefix="0" xfId="24">
      <alignment vertical="center" wrapText="1"/>
    </xf>
    <xf applyAlignment="1" borderId="40" fillId="16" fontId="8" numFmtId="164" pivotButton="0" quotePrefix="0" xfId="24">
      <alignment horizontal="left" vertical="center" wrapText="1"/>
    </xf>
    <xf applyAlignment="1" borderId="49" fillId="64" fontId="41" numFmtId="169" pivotButton="0" quotePrefix="0" xfId="24">
      <alignment horizontal="center"/>
    </xf>
    <xf applyAlignment="1" borderId="0" fillId="64" fontId="16" numFmtId="38" pivotButton="0" quotePrefix="0" xfId="39">
      <alignment horizontal="center" vertical="center"/>
    </xf>
    <xf applyAlignment="1" borderId="7" fillId="64" fontId="16" numFmtId="38" pivotButton="0" quotePrefix="0" xfId="39">
      <alignment horizontal="center" vertical="center"/>
    </xf>
    <xf borderId="0" fillId="0" fontId="144" numFmtId="174" pivotButton="0" quotePrefix="0" xfId="0"/>
    <xf borderId="7" fillId="13" fontId="8" numFmtId="174" pivotButton="0" quotePrefix="0" xfId="24"/>
    <xf applyAlignment="1" borderId="0" fillId="0" fontId="150" numFmtId="164" pivotButton="0" quotePrefix="0" xfId="0">
      <alignment horizontal="center" vertical="center"/>
    </xf>
    <xf borderId="0" fillId="0" fontId="22" numFmtId="171" pivotButton="0" quotePrefix="0" xfId="0"/>
    <xf borderId="0" fillId="63" fontId="143" numFmtId="174" pivotButton="0" quotePrefix="0" xfId="0"/>
    <xf applyAlignment="1" borderId="0" fillId="0" fontId="5" numFmtId="180" pivotButton="0" quotePrefix="0" xfId="39">
      <alignment horizontal="center" vertical="center"/>
    </xf>
    <xf applyAlignment="1" borderId="0" fillId="0" fontId="41" numFmtId="180" pivotButton="0" quotePrefix="0" xfId="39">
      <alignment horizontal="center" vertical="center"/>
    </xf>
    <xf applyAlignment="1" borderId="28" fillId="12" fontId="8" numFmtId="38" pivotButton="0" quotePrefix="0" xfId="39">
      <alignment horizontal="center" vertical="center"/>
    </xf>
    <xf applyAlignment="1" borderId="0" fillId="3" fontId="151" numFmtId="38" pivotButton="0" quotePrefix="0" xfId="39">
      <alignment horizontal="center" vertical="center"/>
    </xf>
    <xf applyAlignment="1" borderId="165" fillId="16" fontId="8" numFmtId="38" pivotButton="0" quotePrefix="0" xfId="39">
      <alignment vertical="center"/>
    </xf>
    <xf borderId="164" fillId="16" fontId="8" numFmtId="164" pivotButton="0" quotePrefix="0" xfId="24"/>
    <xf borderId="0" fillId="13" fontId="8" numFmtId="9" pivotButton="0" quotePrefix="0" xfId="50"/>
    <xf applyAlignment="1" borderId="41" fillId="16" fontId="8" numFmtId="38" pivotButton="0" quotePrefix="0" xfId="39">
      <alignment horizontal="center" vertical="center"/>
    </xf>
    <xf applyAlignment="1" borderId="25" fillId="13" fontId="8" numFmtId="38" pivotButton="0" quotePrefix="0" xfId="39">
      <alignment horizontal="center" vertical="center"/>
    </xf>
    <xf applyAlignment="1" borderId="28" fillId="0" fontId="8" numFmtId="38" pivotButton="0" quotePrefix="0" xfId="15">
      <alignment horizontal="center" vertical="center"/>
    </xf>
    <xf applyAlignment="1" borderId="7" fillId="0" fontId="47" numFmtId="169" pivotButton="0" quotePrefix="0" xfId="24">
      <alignment horizontal="center"/>
    </xf>
    <xf applyAlignment="1" borderId="0" fillId="0" fontId="130" numFmtId="180" pivotButton="0" quotePrefix="0" xfId="39">
      <alignment horizontal="center" vertical="center"/>
    </xf>
    <xf applyAlignment="1" borderId="7" fillId="0" fontId="16" numFmtId="180" pivotButton="0" quotePrefix="0" xfId="39">
      <alignment horizontal="center" vertical="center"/>
    </xf>
    <xf applyAlignment="1" borderId="49" fillId="0" fontId="47" numFmtId="38" pivotButton="0" quotePrefix="0" xfId="39">
      <alignment vertical="center"/>
    </xf>
    <xf applyAlignment="1" borderId="137" fillId="0" fontId="5" numFmtId="180" pivotButton="0" quotePrefix="0" xfId="39">
      <alignment horizontal="center" vertical="center"/>
    </xf>
    <xf borderId="48" fillId="0" fontId="8" numFmtId="164" pivotButton="0" quotePrefix="0" xfId="24"/>
    <xf borderId="0" fillId="0" fontId="22" numFmtId="164" pivotButton="0" quotePrefix="0" xfId="0"/>
    <xf borderId="0" fillId="0" fontId="22" numFmtId="164" pivotButton="0" quotePrefix="0" xfId="0"/>
    <xf applyAlignment="1" borderId="28" fillId="0" fontId="8" numFmtId="38" pivotButton="0" quotePrefix="0" xfId="15">
      <alignment vertical="center"/>
    </xf>
    <xf applyAlignment="1" borderId="0" fillId="0" fontId="53" numFmtId="164" pivotButton="0" quotePrefix="0" xfId="29">
      <alignment vertical="center"/>
    </xf>
    <xf applyAlignment="1" borderId="0" fillId="0" fontId="52" numFmtId="168" pivotButton="0" quotePrefix="0" xfId="29">
      <alignment horizontal="center" vertical="center"/>
    </xf>
    <xf applyAlignment="1" borderId="0" fillId="0" fontId="53" numFmtId="171" pivotButton="0" quotePrefix="0" xfId="29">
      <alignment horizontal="center" vertical="center" wrapText="1"/>
    </xf>
    <xf borderId="0" fillId="0" fontId="53" numFmtId="172" pivotButton="0" quotePrefix="0" xfId="61"/>
    <xf applyAlignment="1" borderId="0" fillId="0" fontId="52" numFmtId="165" pivotButton="0" quotePrefix="0" xfId="14">
      <alignment horizontal="center" vertical="center"/>
    </xf>
    <xf applyAlignment="1" borderId="0" fillId="0" fontId="53" numFmtId="165" pivotButton="0" quotePrefix="0" xfId="14">
      <alignment horizontal="center" vertical="center"/>
    </xf>
    <xf applyAlignment="1" borderId="0" fillId="0" fontId="53" numFmtId="165" pivotButton="0" quotePrefix="0" xfId="14">
      <alignment horizontal="center" vertical="center"/>
    </xf>
    <xf applyAlignment="1" borderId="0" fillId="0" fontId="53" numFmtId="168" pivotButton="0" quotePrefix="0" xfId="29">
      <alignment vertical="center"/>
    </xf>
    <xf applyAlignment="1" borderId="0" fillId="0" fontId="11" numFmtId="169" pivotButton="0" quotePrefix="0" xfId="24">
      <alignment horizontal="left"/>
    </xf>
    <xf applyAlignment="1" borderId="46" fillId="0" fontId="47" numFmtId="169" pivotButton="0" quotePrefix="0" xfId="24">
      <alignment horizontal="center"/>
    </xf>
    <xf applyAlignment="1" borderId="47" fillId="0" fontId="47" numFmtId="38" pivotButton="0" quotePrefix="0" xfId="39">
      <alignment vertical="center"/>
    </xf>
    <xf borderId="0" fillId="0" fontId="22" numFmtId="9" pivotButton="0" quotePrefix="0" xfId="50"/>
    <xf applyAlignment="1" borderId="0" fillId="0" fontId="41" numFmtId="169" pivotButton="0" quotePrefix="0" xfId="24">
      <alignment horizontal="center"/>
    </xf>
    <xf borderId="0" fillId="0" fontId="22" numFmtId="174" pivotButton="0" quotePrefix="0" xfId="0"/>
    <xf applyAlignment="1" borderId="27" fillId="0" fontId="130" numFmtId="38" pivotButton="0" quotePrefix="0" xfId="39">
      <alignment vertical="center"/>
    </xf>
    <xf borderId="0" fillId="0" fontId="22" numFmtId="174" pivotButton="0" quotePrefix="0" xfId="0"/>
    <xf borderId="0" fillId="0" fontId="22" numFmtId="171" pivotButton="0" quotePrefix="0" xfId="0"/>
    <xf applyAlignment="1" borderId="0" fillId="0" fontId="53" numFmtId="174" pivotButton="0" quotePrefix="0" xfId="29">
      <alignment vertical="center"/>
    </xf>
    <xf applyAlignment="1" borderId="0" fillId="0" fontId="53" numFmtId="171" pivotButton="0" quotePrefix="0" xfId="29">
      <alignment vertical="center"/>
    </xf>
    <xf applyAlignment="1" borderId="27" fillId="3" fontId="130" numFmtId="38" pivotButton="0" quotePrefix="0" xfId="39">
      <alignment vertical="center"/>
    </xf>
    <xf applyAlignment="1" borderId="28" fillId="3" fontId="130" numFmtId="38" pivotButton="0" quotePrefix="0" xfId="39">
      <alignment vertical="center"/>
    </xf>
    <xf borderId="0" fillId="88" fontId="143" numFmtId="174" pivotButton="0" quotePrefix="0" xfId="0"/>
    <xf borderId="0" fillId="88" fontId="62" numFmtId="189" pivotButton="0" quotePrefix="0" xfId="50"/>
    <xf borderId="0" fillId="88" fontId="144" numFmtId="164" pivotButton="0" quotePrefix="0" xfId="0"/>
    <xf borderId="0" fillId="88" fontId="144" numFmtId="174" pivotButton="0" quotePrefix="0" xfId="0"/>
    <xf borderId="0" fillId="88" fontId="62" numFmtId="9" pivotButton="0" quotePrefix="0" xfId="50"/>
    <xf borderId="0" fillId="88" fontId="145" numFmtId="164" pivotButton="0" quotePrefix="0" xfId="0"/>
    <xf borderId="0" fillId="88" fontId="145" numFmtId="174" pivotButton="0" quotePrefix="0" xfId="0"/>
    <xf borderId="0" fillId="16" fontId="143" numFmtId="174" pivotButton="0" quotePrefix="0" xfId="0"/>
    <xf borderId="0" fillId="16" fontId="62" numFmtId="189" pivotButton="0" quotePrefix="0" xfId="50"/>
    <xf borderId="0" fillId="16" fontId="144" numFmtId="164" pivotButton="0" quotePrefix="0" xfId="0"/>
    <xf borderId="0" fillId="16" fontId="144" numFmtId="174" pivotButton="0" quotePrefix="0" xfId="0"/>
    <xf borderId="0" fillId="16" fontId="62" numFmtId="9" pivotButton="0" quotePrefix="0" xfId="50"/>
    <xf borderId="0" fillId="16" fontId="145" numFmtId="164" pivotButton="0" quotePrefix="0" xfId="0"/>
    <xf borderId="0" fillId="16" fontId="145" numFmtId="174" pivotButton="0" quotePrefix="0" xfId="0"/>
    <xf applyAlignment="1" borderId="166" fillId="16" fontId="8" numFmtId="38" pivotButton="0" quotePrefix="0" xfId="39">
      <alignment vertical="center"/>
    </xf>
    <xf borderId="164" fillId="13" fontId="8" numFmtId="174" pivotButton="0" quotePrefix="0" xfId="24"/>
    <xf applyAlignment="1" borderId="154" fillId="0" fontId="41" numFmtId="169" pivotButton="0" quotePrefix="0" xfId="24">
      <alignment horizontal="center"/>
    </xf>
    <xf applyAlignment="1" borderId="167" fillId="0" fontId="5" numFmtId="38" pivotButton="0" quotePrefix="0" xfId="39">
      <alignment horizontal="center" vertical="center"/>
    </xf>
    <xf applyAlignment="1" borderId="28" fillId="16" fontId="8" numFmtId="38" pivotButton="0" quotePrefix="0" xfId="15">
      <alignment vertical="center"/>
    </xf>
    <xf applyAlignment="1" borderId="3" fillId="0" fontId="16" numFmtId="38" pivotButton="0" quotePrefix="0" xfId="39">
      <alignment horizontal="center" vertical="center"/>
    </xf>
    <xf applyAlignment="1" borderId="4" fillId="0" fontId="16" numFmtId="38" pivotButton="0" quotePrefix="0" xfId="39">
      <alignment horizontal="center" vertical="center"/>
    </xf>
    <xf borderId="0" fillId="0" fontId="180" numFmtId="174" pivotButton="0" quotePrefix="0" xfId="0"/>
    <xf borderId="0" fillId="0" fontId="180" numFmtId="171" pivotButton="0" quotePrefix="0" xfId="0"/>
    <xf borderId="0" fillId="0" fontId="25" numFmtId="174" pivotButton="0" quotePrefix="0" xfId="0"/>
    <xf borderId="150" fillId="0" fontId="22" numFmtId="174" pivotButton="0" quotePrefix="0" xfId="0"/>
    <xf borderId="143" fillId="0" fontId="22" numFmtId="174" pivotButton="0" quotePrefix="0" xfId="0"/>
    <xf applyAlignment="1" borderId="27" fillId="0" fontId="11" numFmtId="38" pivotButton="0" quotePrefix="0" xfId="39">
      <alignment horizontal="center" vertical="center"/>
    </xf>
    <xf borderId="164" fillId="0" fontId="53" numFmtId="172" pivotButton="0" quotePrefix="0" xfId="29"/>
    <xf borderId="164" fillId="58" fontId="53" numFmtId="172" pivotButton="0" quotePrefix="0" xfId="29"/>
    <xf borderId="164" fillId="22" fontId="53" numFmtId="172" pivotButton="0" quotePrefix="0" xfId="29"/>
    <xf borderId="164" fillId="22" fontId="53" numFmtId="172" pivotButton="0" quotePrefix="0" xfId="61"/>
    <xf applyAlignment="1" borderId="28" fillId="12" fontId="8" numFmtId="38" pivotButton="0" quotePrefix="0" xfId="39">
      <alignment horizontal="right" vertical="center"/>
    </xf>
    <xf borderId="164" fillId="0" fontId="58" numFmtId="172" pivotButton="0" quotePrefix="0" xfId="29"/>
    <xf borderId="164" fillId="0" fontId="53" numFmtId="172" pivotButton="0" quotePrefix="0" xfId="61"/>
    <xf borderId="164" fillId="23" fontId="53" numFmtId="172" pivotButton="0" quotePrefix="0" xfId="29"/>
    <xf borderId="164" fillId="23" fontId="58" numFmtId="172" pivotButton="0" quotePrefix="0" xfId="29"/>
    <xf borderId="164" fillId="23" fontId="53" numFmtId="172" pivotButton="0" quotePrefix="0" xfId="61"/>
    <xf borderId="40" fillId="65" fontId="53" numFmtId="172" pivotButton="0" quotePrefix="0" xfId="29"/>
    <xf borderId="0" fillId="65" fontId="53" numFmtId="172" pivotButton="0" quotePrefix="0" xfId="61"/>
    <xf borderId="22" fillId="65" fontId="58" numFmtId="172" pivotButton="0" quotePrefix="0" xfId="29"/>
    <xf borderId="22" fillId="65" fontId="53" numFmtId="172" pivotButton="0" quotePrefix="0" xfId="29"/>
    <xf applyAlignment="1" borderId="0" fillId="0" fontId="59" numFmtId="174" pivotButton="0" quotePrefix="0" xfId="29">
      <alignment horizontal="center" vertical="center"/>
    </xf>
    <xf applyAlignment="1" borderId="28" fillId="63" fontId="8" numFmtId="38" pivotButton="0" quotePrefix="0" xfId="15">
      <alignment vertical="center"/>
    </xf>
    <xf applyAlignment="1" borderId="40" fillId="2" fontId="8" numFmtId="174" pivotButton="0" quotePrefix="0" xfId="24">
      <alignment horizontal="right" vertical="center" wrapText="1"/>
    </xf>
    <xf applyAlignment="1" borderId="153" fillId="0" fontId="52" numFmtId="165" pivotButton="0" quotePrefix="0" xfId="14">
      <alignment horizontal="center" vertical="center"/>
    </xf>
    <xf borderId="0" fillId="0" fontId="0" numFmtId="164" pivotButton="0" quotePrefix="0" xfId="0"/>
    <xf applyAlignment="1" borderId="28" fillId="0" fontId="8" numFmtId="38" pivotButton="0" quotePrefix="0" xfId="15">
      <alignment vertical="center"/>
    </xf>
    <xf applyAlignment="1" borderId="28" fillId="12" fontId="8" numFmtId="38" pivotButton="0" quotePrefix="0" xfId="39">
      <alignment vertical="center"/>
    </xf>
    <xf borderId="0" fillId="3" fontId="0" numFmtId="164" pivotButton="0" quotePrefix="0" xfId="0"/>
    <xf applyAlignment="1" borderId="0" fillId="0" fontId="53" numFmtId="164" pivotButton="0" quotePrefix="0" xfId="29">
      <alignment vertical="center"/>
    </xf>
    <xf borderId="0" fillId="11" fontId="53" numFmtId="172" pivotButton="0" quotePrefix="0" xfId="61"/>
    <xf borderId="0" fillId="0" fontId="53" numFmtId="172" pivotButton="0" quotePrefix="0" xfId="61"/>
    <xf borderId="0" fillId="7" fontId="53" numFmtId="172" pivotButton="0" quotePrefix="0" xfId="61"/>
    <xf borderId="0" fillId="3" fontId="53" numFmtId="172" pivotButton="0" quotePrefix="0" xfId="61"/>
    <xf borderId="0" fillId="23" fontId="0" numFmtId="164" pivotButton="0" quotePrefix="0" xfId="0"/>
    <xf borderId="0" fillId="23" fontId="53" numFmtId="172" pivotButton="0" quotePrefix="0" xfId="61"/>
    <xf borderId="164" fillId="4" fontId="53" numFmtId="172" pivotButton="0" quotePrefix="0" xfId="29"/>
    <xf borderId="0" fillId="23" fontId="58" numFmtId="172" pivotButton="0" quotePrefix="0" xfId="61"/>
    <xf borderId="164" fillId="58" fontId="53" numFmtId="172" pivotButton="0" quotePrefix="0" xfId="29"/>
    <xf applyAlignment="1" borderId="149" fillId="0" fontId="47" numFmtId="38" pivotButton="0" quotePrefix="0" xfId="39">
      <alignment vertical="center"/>
    </xf>
    <xf borderId="0" fillId="0" fontId="22" numFmtId="171" pivotButton="0" quotePrefix="0" xfId="0"/>
    <xf applyAlignment="1" borderId="0" fillId="0" fontId="5" numFmtId="38" pivotButton="0" quotePrefix="0" xfId="39">
      <alignment horizontal="center" vertical="center"/>
    </xf>
    <xf borderId="0" fillId="63" fontId="144" numFmtId="174" pivotButton="0" quotePrefix="0" xfId="0"/>
    <xf borderId="0" fillId="0" fontId="144" numFmtId="174" pivotButton="0" quotePrefix="0" xfId="0"/>
    <xf applyAlignment="1" borderId="0" fillId="0" fontId="5" numFmtId="180" pivotButton="0" quotePrefix="0" xfId="39">
      <alignment horizontal="center" vertical="center"/>
    </xf>
    <xf applyAlignment="1" borderId="0" fillId="0" fontId="53" numFmtId="174" pivotButton="0" quotePrefix="0" xfId="29">
      <alignment vertical="center"/>
    </xf>
    <xf applyAlignment="1" borderId="28" fillId="16" fontId="8" numFmtId="38" pivotButton="0" quotePrefix="0" xfId="15">
      <alignment vertical="center"/>
    </xf>
    <xf applyAlignment="1" borderId="28" fillId="12" fontId="8" numFmtId="38" pivotButton="0" quotePrefix="0" xfId="39">
      <alignment horizontal="right" vertical="center"/>
    </xf>
    <xf applyAlignment="1" borderId="27" fillId="12" fontId="8" numFmtId="38" pivotButton="0" quotePrefix="0" xfId="39">
      <alignment vertical="center"/>
    </xf>
    <xf applyAlignment="1" applyProtection="1" borderId="164" fillId="0" fontId="75" numFmtId="174" pivotButton="0" quotePrefix="0" xfId="0">
      <alignment horizontal="center"/>
      <protection hidden="0" locked="0"/>
    </xf>
    <xf applyAlignment="1" applyProtection="1" borderId="164" fillId="0" fontId="75" numFmtId="174" pivotButton="0" quotePrefix="0" xfId="0">
      <alignment horizontal="center" vertical="center"/>
      <protection hidden="0" locked="0"/>
    </xf>
    <xf applyAlignment="1" applyProtection="1" borderId="164" fillId="0" fontId="75" numFmtId="174" pivotButton="0" quotePrefix="0" xfId="0">
      <alignment horizontal="left"/>
      <protection hidden="0" locked="0"/>
    </xf>
    <xf applyProtection="1" borderId="164" fillId="0" fontId="85" numFmtId="38" pivotButton="0" quotePrefix="0" xfId="0">
      <protection hidden="0" locked="0"/>
    </xf>
    <xf borderId="164" fillId="0" fontId="83" numFmtId="178" pivotButton="0" quotePrefix="0" xfId="0"/>
    <xf borderId="164" fillId="0" fontId="82" numFmtId="178" pivotButton="0" quotePrefix="0" xfId="0"/>
    <xf applyAlignment="1" applyProtection="1" borderId="173" fillId="0" fontId="73" numFmtId="174" pivotButton="0" quotePrefix="0" xfId="0">
      <alignment vertical="center"/>
      <protection hidden="0" locked="0"/>
    </xf>
    <xf applyAlignment="1" applyProtection="1" borderId="164" fillId="0" fontId="82" numFmtId="174" pivotButton="0" quotePrefix="0" xfId="0">
      <alignment horizontal="center" vertical="center"/>
      <protection hidden="0" locked="0"/>
    </xf>
    <xf applyAlignment="1" applyProtection="1" borderId="164" fillId="0" fontId="73" numFmtId="174" pivotButton="0" quotePrefix="0" xfId="0">
      <alignment horizontal="center"/>
      <protection hidden="0" locked="0"/>
    </xf>
    <xf borderId="164" fillId="0" fontId="84" numFmtId="178" pivotButton="0" quotePrefix="0" xfId="0"/>
    <xf applyAlignment="1" applyProtection="1" borderId="164" fillId="0" fontId="73" numFmtId="174" pivotButton="0" quotePrefix="0" xfId="0">
      <alignment vertical="center"/>
      <protection hidden="0" locked="0"/>
    </xf>
    <xf applyAlignment="1" applyProtection="1" borderId="164" fillId="0" fontId="129" numFmtId="174" pivotButton="0" quotePrefix="0" xfId="0">
      <alignment horizontal="center" vertical="center"/>
      <protection hidden="0" locked="0"/>
    </xf>
    <xf applyAlignment="1" applyProtection="1" borderId="173" fillId="0" fontId="75" numFmtId="174" pivotButton="0" quotePrefix="0" xfId="0">
      <alignment horizontal="center" vertical="center"/>
      <protection hidden="0" locked="0"/>
    </xf>
    <xf borderId="173" fillId="0" fontId="82" numFmtId="178" pivotButton="0" quotePrefix="0" xfId="0"/>
    <xf applyAlignment="1" applyProtection="1" borderId="54" fillId="0" fontId="75" numFmtId="174" pivotButton="0" quotePrefix="0" xfId="0">
      <alignment horizontal="left"/>
      <protection hidden="0" locked="0"/>
    </xf>
    <xf applyAlignment="1" applyProtection="1" borderId="54" fillId="0" fontId="75" numFmtId="174" pivotButton="0" quotePrefix="0" xfId="0">
      <alignment horizontal="center" vertical="center" wrapText="1"/>
      <protection hidden="0" locked="0"/>
    </xf>
    <xf borderId="54" fillId="0" fontId="114" numFmtId="185" pivotButton="0" quotePrefix="0" xfId="0"/>
    <xf borderId="54" fillId="0" fontId="83" numFmtId="178" pivotButton="0" quotePrefix="0" xfId="0"/>
    <xf borderId="54" fillId="0" fontId="82" numFmtId="178" pivotButton="0" quotePrefix="0" xfId="0"/>
    <xf applyAlignment="1" applyProtection="1" borderId="48" fillId="0" fontId="73" numFmtId="174" pivotButton="0" quotePrefix="0" xfId="0">
      <alignment vertical="center"/>
      <protection hidden="0" locked="0"/>
    </xf>
    <xf applyAlignment="1" applyProtection="1" borderId="54" fillId="0" fontId="75" numFmtId="174" pivotButton="0" quotePrefix="0" xfId="0">
      <alignment horizontal="center" vertical="center"/>
      <protection hidden="0" locked="0"/>
    </xf>
    <xf applyAlignment="1" borderId="12" fillId="47" fontId="77" numFmtId="164" pivotButton="0" quotePrefix="0" xfId="0">
      <alignment horizontal="center"/>
    </xf>
    <xf applyAlignment="1" borderId="13" fillId="47" fontId="77" numFmtId="164" pivotButton="0" quotePrefix="0" xfId="0">
      <alignment horizontal="center"/>
    </xf>
    <xf applyAlignment="1" borderId="13" fillId="47" fontId="77" numFmtId="174" pivotButton="0" quotePrefix="0" xfId="0">
      <alignment horizontal="center"/>
    </xf>
    <xf applyAlignment="1" borderId="13" fillId="47" fontId="77" numFmtId="174" pivotButton="0" quotePrefix="0" xfId="0">
      <alignment horizontal="left" wrapText="1"/>
    </xf>
    <xf applyAlignment="1" borderId="13" fillId="47" fontId="77" numFmtId="174" pivotButton="0" quotePrefix="0" xfId="51">
      <alignment horizontal="center"/>
    </xf>
    <xf applyAlignment="1" borderId="13" fillId="47" fontId="78" numFmtId="164" pivotButton="0" quotePrefix="0" xfId="0">
      <alignment horizontal="center" shrinkToFit="1"/>
    </xf>
    <xf applyAlignment="1" borderId="13" fillId="47" fontId="77" numFmtId="177" pivotButton="0" quotePrefix="0" xfId="0">
      <alignment horizontal="center"/>
    </xf>
    <xf applyAlignment="1" borderId="14" fillId="47" fontId="80" numFmtId="174" pivotButton="0" quotePrefix="0" xfId="0">
      <alignment horizontal="center"/>
    </xf>
    <xf borderId="0" fillId="33" fontId="73" numFmtId="164" pivotButton="0" quotePrefix="0" xfId="0"/>
    <xf applyAlignment="1" applyProtection="1" borderId="164" fillId="0" fontId="73" numFmtId="174" pivotButton="0" quotePrefix="0" xfId="0">
      <alignment horizontal="left"/>
      <protection hidden="0" locked="0"/>
    </xf>
    <xf borderId="164" fillId="0" fontId="99" numFmtId="172" pivotButton="0" quotePrefix="0" xfId="61"/>
    <xf applyAlignment="1" borderId="0" fillId="0" fontId="73" numFmtId="174" pivotButton="0" quotePrefix="0" xfId="0">
      <alignment horizontal="right"/>
    </xf>
    <xf applyAlignment="1" borderId="0" fillId="0" fontId="98" numFmtId="174" pivotButton="0" quotePrefix="0" xfId="0">
      <alignment horizontal="right"/>
    </xf>
    <xf borderId="0" fillId="0" fontId="135" numFmtId="174" pivotButton="0" quotePrefix="0" xfId="0"/>
    <xf applyAlignment="1" borderId="0" fillId="0" fontId="76" numFmtId="164" pivotButton="0" quotePrefix="0" xfId="0">
      <alignment shrinkToFit="1"/>
    </xf>
    <xf borderId="0" fillId="0" fontId="75" numFmtId="177" pivotButton="0" quotePrefix="0" xfId="0"/>
    <xf borderId="0" fillId="0" fontId="98" numFmtId="177" pivotButton="0" quotePrefix="0" xfId="0"/>
    <xf applyAlignment="1" borderId="0" fillId="18" fontId="5" numFmtId="165" pivotButton="0" quotePrefix="0" xfId="43">
      <alignment vertical="center"/>
    </xf>
    <xf borderId="0" fillId="31" fontId="5" numFmtId="165" pivotButton="0" quotePrefix="0" xfId="43"/>
    <xf applyAlignment="1" borderId="27" fillId="0" fontId="5" numFmtId="38" pivotButton="0" quotePrefix="0" xfId="39">
      <alignment vertical="center"/>
    </xf>
    <xf borderId="0" fillId="0" fontId="5" numFmtId="175" pivotButton="0" quotePrefix="0" xfId="43"/>
    <xf applyAlignment="1" borderId="0" fillId="0" fontId="184" numFmtId="1" pivotButton="0" quotePrefix="0" xfId="0">
      <alignment vertical="center"/>
    </xf>
    <xf borderId="0" fillId="0" fontId="62" numFmtId="164" pivotButton="0" quotePrefix="0" xfId="0"/>
    <xf borderId="0" fillId="0" fontId="62" numFmtId="175" pivotButton="0" quotePrefix="0" xfId="43"/>
    <xf applyAlignment="1" borderId="164" fillId="33" fontId="77" numFmtId="177" pivotButton="0" quotePrefix="0" xfId="0">
      <alignment horizontal="center"/>
    </xf>
    <xf applyAlignment="1" borderId="164" fillId="89" fontId="77" numFmtId="177" pivotButton="0" quotePrefix="0" xfId="0">
      <alignment horizontal="center"/>
    </xf>
    <xf borderId="164" fillId="36" fontId="77" numFmtId="174" pivotButton="0" quotePrefix="0" xfId="0"/>
    <xf borderId="164" fillId="0" fontId="82" numFmtId="174" pivotButton="0" quotePrefix="0" xfId="0"/>
    <xf borderId="164" fillId="0" fontId="73" numFmtId="174" pivotButton="0" quotePrefix="0" xfId="0"/>
    <xf applyAlignment="1" borderId="164" fillId="27" fontId="77" numFmtId="177" pivotButton="0" quotePrefix="0" xfId="0">
      <alignment horizontal="center"/>
    </xf>
    <xf borderId="164" fillId="2" fontId="82" numFmtId="174" pivotButton="0" quotePrefix="0" xfId="0"/>
    <xf applyAlignment="1" borderId="0" fillId="0" fontId="73" numFmtId="171" pivotButton="0" quotePrefix="0" xfId="0">
      <alignment vertical="center"/>
    </xf>
    <xf applyAlignment="1" applyProtection="1" borderId="164" fillId="90" fontId="185" numFmtId="174" pivotButton="0" quotePrefix="0" xfId="0">
      <alignment horizontal="center" vertical="center" wrapText="1"/>
      <protection hidden="0" locked="0"/>
    </xf>
    <xf applyAlignment="1" borderId="174" fillId="0" fontId="186" numFmtId="164" pivotButton="0" quotePrefix="0" xfId="0">
      <alignment vertical="center"/>
    </xf>
    <xf applyAlignment="1" borderId="175" fillId="0" fontId="186" numFmtId="164" pivotButton="0" quotePrefix="0" xfId="0">
      <alignment vertical="center"/>
    </xf>
    <xf applyAlignment="1" applyProtection="1" borderId="164" fillId="0" fontId="188" numFmtId="174" pivotButton="0" quotePrefix="0" xfId="0">
      <alignment horizontal="left" vertical="center" wrapText="1"/>
      <protection hidden="0" locked="0"/>
    </xf>
    <xf applyAlignment="1" applyProtection="1" borderId="164" fillId="0" fontId="188" numFmtId="174" pivotButton="0" quotePrefix="0" xfId="0">
      <alignment horizontal="center" vertical="center" wrapText="1"/>
      <protection hidden="0" locked="0"/>
    </xf>
    <xf applyAlignment="1" applyProtection="1" borderId="164" fillId="2" fontId="188" numFmtId="174" pivotButton="0" quotePrefix="0" xfId="0">
      <alignment horizontal="center" vertical="center" wrapText="1"/>
      <protection hidden="0" locked="0"/>
    </xf>
    <xf applyAlignment="1" borderId="164" fillId="0" fontId="189" numFmtId="164" pivotButton="0" quotePrefix="0" xfId="0">
      <alignment horizontal="left" vertical="center"/>
    </xf>
    <xf borderId="164" fillId="64" fontId="0" numFmtId="174" pivotButton="0" quotePrefix="0" xfId="0"/>
    <xf applyAlignment="1" borderId="176" fillId="0" fontId="190" numFmtId="164" pivotButton="0" quotePrefix="0" xfId="0">
      <alignment vertical="center"/>
    </xf>
    <xf applyAlignment="1" borderId="68" fillId="0" fontId="190" numFmtId="174" pivotButton="0" quotePrefix="0" xfId="0">
      <alignment horizontal="right" vertical="center"/>
    </xf>
    <xf applyAlignment="1" applyProtection="1" borderId="164" fillId="0" fontId="189" numFmtId="174" pivotButton="0" quotePrefix="0" xfId="0">
      <alignment horizontal="left" vertical="center" wrapText="1"/>
      <protection hidden="0" locked="0"/>
    </xf>
    <xf applyAlignment="1" applyProtection="1" borderId="164" fillId="2" fontId="189" numFmtId="174" pivotButton="0" quotePrefix="0" xfId="0">
      <alignment horizontal="left" vertical="center" wrapText="1"/>
      <protection hidden="0" locked="0"/>
    </xf>
    <xf applyAlignment="1" applyProtection="1" borderId="164" fillId="2" fontId="189" numFmtId="174" pivotButton="0" quotePrefix="0" xfId="0">
      <alignment horizontal="center" vertical="center" wrapText="1"/>
      <protection hidden="0" locked="0"/>
    </xf>
    <xf applyAlignment="1" borderId="68" fillId="0" fontId="190" numFmtId="171" pivotButton="0" quotePrefix="0" xfId="0">
      <alignment horizontal="right" vertical="center"/>
    </xf>
    <xf applyAlignment="1" borderId="177" fillId="64" fontId="189" numFmtId="49" pivotButton="0" quotePrefix="0" xfId="0">
      <alignment horizontal="center" vertical="center"/>
    </xf>
    <xf applyAlignment="1" borderId="178" fillId="64" fontId="189" numFmtId="174" pivotButton="0" quotePrefix="0" xfId="0">
      <alignment horizontal="center" vertical="center"/>
    </xf>
    <xf applyAlignment="1" applyProtection="1" borderId="178" fillId="2" fontId="189" numFmtId="174" pivotButton="0" quotePrefix="0" xfId="0">
      <alignment horizontal="left" vertical="center" wrapText="1"/>
      <protection hidden="0" locked="0"/>
    </xf>
    <xf applyAlignment="1" applyProtection="1" borderId="178" fillId="2" fontId="189" numFmtId="174" pivotButton="0" quotePrefix="0" xfId="0">
      <alignment horizontal="center" vertical="center" wrapText="1"/>
      <protection hidden="0" locked="0"/>
    </xf>
    <xf applyAlignment="1" borderId="178" fillId="0" fontId="189" numFmtId="164" pivotButton="0" quotePrefix="0" xfId="0">
      <alignment horizontal="left" vertical="center"/>
    </xf>
    <xf borderId="178" fillId="64" fontId="0" numFmtId="174" pivotButton="0" quotePrefix="0" xfId="0"/>
    <xf applyAlignment="1" borderId="48" fillId="0" fontId="189" numFmtId="49" pivotButton="0" quotePrefix="0" xfId="0">
      <alignment vertical="center"/>
    </xf>
    <xf applyAlignment="1" applyProtection="1" borderId="178" fillId="0" fontId="188" numFmtId="174" pivotButton="0" quotePrefix="0" xfId="0">
      <alignment horizontal="left" vertical="center" wrapText="1"/>
      <protection hidden="0" locked="0"/>
    </xf>
    <xf applyAlignment="1" applyProtection="1" borderId="178" fillId="0" fontId="188" numFmtId="174" pivotButton="0" quotePrefix="0" xfId="0">
      <alignment horizontal="center" vertical="center" wrapText="1"/>
      <protection hidden="0" locked="0"/>
    </xf>
    <xf applyAlignment="1" applyProtection="1" borderId="178" fillId="2" fontId="188" numFmtId="174" pivotButton="0" quotePrefix="0" xfId="0">
      <alignment horizontal="center" vertical="center" wrapText="1"/>
      <protection hidden="0" locked="0"/>
    </xf>
    <xf applyAlignment="1" borderId="54" fillId="0" fontId="189" numFmtId="49" pivotButton="0" quotePrefix="0" xfId="0">
      <alignment vertical="center"/>
    </xf>
    <xf applyAlignment="1" borderId="178" fillId="91" fontId="189" numFmtId="174" pivotButton="0" quotePrefix="0" xfId="0">
      <alignment horizontal="center" vertical="center"/>
    </xf>
    <xf applyAlignment="1" borderId="153" fillId="0" fontId="189" numFmtId="49" pivotButton="0" quotePrefix="0" xfId="0">
      <alignment vertical="center"/>
    </xf>
    <xf applyAlignment="1" applyProtection="1" borderId="129" fillId="91" fontId="188" numFmtId="174" pivotButton="0" quotePrefix="0" xfId="0">
      <alignment horizontal="center" vertical="center" wrapText="1"/>
      <protection hidden="0" locked="0"/>
    </xf>
    <xf borderId="164" fillId="2" fontId="0" numFmtId="174" pivotButton="0" quotePrefix="0" xfId="0"/>
    <xf borderId="178" fillId="2" fontId="0" numFmtId="174" pivotButton="0" quotePrefix="0" xfId="0"/>
    <xf borderId="164" fillId="2" fontId="191" numFmtId="174" pivotButton="0" quotePrefix="0" xfId="0"/>
    <xf borderId="0" fillId="0" fontId="0" numFmtId="49" pivotButton="0" quotePrefix="0" xfId="0"/>
    <xf borderId="69" fillId="0" fontId="131" numFmtId="174" pivotButton="0" quotePrefix="0" xfId="0"/>
    <xf borderId="3" fillId="0" fontId="131" numFmtId="174" pivotButton="0" quotePrefix="0" xfId="0"/>
    <xf applyAlignment="1" borderId="0" fillId="0" fontId="192" numFmtId="174" pivotButton="0" quotePrefix="0" xfId="0">
      <alignment horizontal="right"/>
    </xf>
    <xf borderId="49" fillId="13" fontId="8" numFmtId="169" pivotButton="0" quotePrefix="0" xfId="24"/>
    <xf applyAlignment="1" borderId="6" fillId="13" fontId="16" numFmtId="174" pivotButton="0" quotePrefix="1" xfId="24">
      <alignment horizontal="center" wrapText="1"/>
    </xf>
    <xf applyAlignment="1" borderId="7" fillId="13" fontId="16" numFmtId="174" pivotButton="0" quotePrefix="1" xfId="24">
      <alignment vertical="center" wrapText="1"/>
    </xf>
    <xf applyAlignment="1" borderId="6" fillId="13" fontId="5" numFmtId="174" pivotButton="0" quotePrefix="1" xfId="24">
      <alignment horizontal="left" wrapText="1"/>
    </xf>
    <xf applyAlignment="1" borderId="0" fillId="13" fontId="5" numFmtId="170" pivotButton="0" quotePrefix="0" xfId="39">
      <alignment vertical="center"/>
    </xf>
    <xf applyAlignment="1" applyProtection="1" borderId="172" fillId="2" fontId="189" numFmtId="174" pivotButton="0" quotePrefix="0" xfId="0">
      <alignment horizontal="left" vertical="center" wrapText="1"/>
      <protection hidden="0" locked="0"/>
    </xf>
    <xf applyAlignment="1" borderId="28" fillId="92" fontId="8" numFmtId="38" pivotButton="0" quotePrefix="0" xfId="15">
      <alignment vertical="center"/>
    </xf>
    <xf borderId="164" fillId="3" fontId="194" numFmtId="174" pivotButton="0" quotePrefix="0" xfId="0"/>
    <xf borderId="0" fillId="0" fontId="25" numFmtId="169" pivotButton="0" quotePrefix="0" xfId="0"/>
    <xf borderId="0" fillId="0" fontId="22" numFmtId="164" pivotButton="0" quotePrefix="0" xfId="0"/>
    <xf borderId="0" fillId="3" fontId="2" numFmtId="164" pivotButton="0" quotePrefix="0" xfId="24"/>
    <xf borderId="0" fillId="0" fontId="25" numFmtId="164" pivotButton="0" quotePrefix="0" xfId="0"/>
    <xf applyAlignment="1" borderId="0" fillId="0" fontId="195" numFmtId="164" pivotButton="0" quotePrefix="0" xfId="0">
      <alignment horizontal="center" vertical="center"/>
    </xf>
    <xf applyAlignment="1" borderId="0" fillId="0" fontId="195" numFmtId="164" pivotButton="0" quotePrefix="0" xfId="0">
      <alignment horizontal="right" vertical="center"/>
    </xf>
    <xf applyAlignment="1" borderId="0" fillId="0" fontId="195" numFmtId="164" pivotButton="0" quotePrefix="0" xfId="0">
      <alignment horizontal="right" vertical="center" wrapText="1"/>
    </xf>
    <xf applyAlignment="1" borderId="0" fillId="0" fontId="195" numFmtId="174" pivotButton="0" quotePrefix="0" xfId="0">
      <alignment horizontal="right" vertical="center"/>
    </xf>
    <xf applyAlignment="1" borderId="0" fillId="0" fontId="195" numFmtId="174" pivotButton="0" quotePrefix="0" xfId="0">
      <alignment horizontal="right" vertical="center" wrapText="1"/>
    </xf>
    <xf borderId="0" fillId="0" fontId="22" numFmtId="174" pivotButton="0" quotePrefix="0" xfId="0"/>
    <xf borderId="0" fillId="0" fontId="56" numFmtId="169" pivotButton="0" quotePrefix="0" xfId="0"/>
    <xf applyAlignment="1" borderId="0" fillId="0" fontId="195" numFmtId="164" pivotButton="0" quotePrefix="0" xfId="0">
      <alignment horizontal="left" vertical="center"/>
    </xf>
    <xf applyAlignment="1" borderId="0" fillId="0" fontId="196" numFmtId="164" pivotButton="0" quotePrefix="0" xfId="0">
      <alignment horizontal="left" vertical="center"/>
    </xf>
    <xf applyAlignment="1" borderId="0" fillId="0" fontId="196" numFmtId="174" pivotButton="0" quotePrefix="0" xfId="0">
      <alignment horizontal="right" vertical="center"/>
    </xf>
    <xf borderId="48" fillId="3" fontId="8" numFmtId="164" pivotButton="0" quotePrefix="0" xfId="24"/>
    <xf applyAlignment="1" borderId="0" fillId="0" fontId="197" numFmtId="169" pivotButton="0" quotePrefix="0" xfId="0">
      <alignment horizontal="center"/>
    </xf>
    <xf applyAlignment="1" borderId="0" fillId="0" fontId="198" numFmtId="164" pivotButton="0" quotePrefix="0" xfId="0">
      <alignment horizontal="center"/>
    </xf>
    <xf borderId="48" fillId="94" fontId="8" numFmtId="164" pivotButton="0" quotePrefix="0" xfId="24"/>
    <xf applyAlignment="1" borderId="0" fillId="0" fontId="198" numFmtId="165" pivotButton="0" quotePrefix="0" xfId="43">
      <alignment horizontal="center"/>
    </xf>
    <xf borderId="0" fillId="0" fontId="8" numFmtId="168" pivotButton="0" quotePrefix="0" xfId="0"/>
    <xf borderId="0" fillId="0" fontId="25" numFmtId="9" pivotButton="0" quotePrefix="0" xfId="50"/>
    <xf applyAlignment="1" borderId="180" fillId="28" fontId="11" numFmtId="38" pivotButton="0" quotePrefix="0" xfId="39">
      <alignment vertical="center"/>
    </xf>
    <xf applyAlignment="1" borderId="181" fillId="28" fontId="11" numFmtId="38" pivotButton="0" quotePrefix="0" xfId="39">
      <alignment vertical="center"/>
    </xf>
    <xf borderId="0" fillId="0" fontId="25" numFmtId="9" pivotButton="0" quotePrefix="0" xfId="50"/>
    <xf borderId="0" fillId="0" fontId="66" numFmtId="169" pivotButton="0" quotePrefix="0" xfId="0"/>
    <xf applyAlignment="1" borderId="0" fillId="0" fontId="11" numFmtId="169" pivotButton="0" quotePrefix="0" xfId="24">
      <alignment horizontal="center"/>
    </xf>
    <xf borderId="0" fillId="0" fontId="11" numFmtId="169" pivotButton="0" quotePrefix="0" xfId="43"/>
    <xf borderId="54" fillId="26" fontId="11" numFmtId="9" pivotButton="0" quotePrefix="0" xfId="50"/>
    <xf borderId="4" fillId="26" fontId="24" numFmtId="164" pivotButton="0" quotePrefix="0" xfId="24"/>
    <xf applyAlignment="1" borderId="25" fillId="26" fontId="24" numFmtId="38" pivotButton="0" quotePrefix="0" xfId="39">
      <alignment vertical="center"/>
    </xf>
    <xf applyAlignment="1" borderId="26" fillId="26" fontId="24" numFmtId="38" pivotButton="0" quotePrefix="0" xfId="39">
      <alignment vertical="center"/>
    </xf>
    <xf applyAlignment="1" borderId="55" fillId="26" fontId="24" numFmtId="38" pivotButton="0" quotePrefix="0" xfId="39">
      <alignment vertical="center"/>
    </xf>
    <xf applyAlignment="1" borderId="4" fillId="26" fontId="24" numFmtId="38" pivotButton="0" quotePrefix="0" xfId="39">
      <alignment vertical="center"/>
    </xf>
    <xf borderId="0" fillId="0" fontId="22" numFmtId="169" pivotButton="0" quotePrefix="0" xfId="0"/>
    <xf borderId="49" fillId="26" fontId="8" numFmtId="164" pivotButton="0" quotePrefix="0" xfId="24"/>
    <xf applyAlignment="1" borderId="180" fillId="26" fontId="11" numFmtId="38" pivotButton="0" quotePrefix="0" xfId="39">
      <alignment vertical="center"/>
    </xf>
    <xf applyAlignment="1" borderId="181" fillId="26" fontId="11" numFmtId="38" pivotButton="0" quotePrefix="0" xfId="39">
      <alignment vertical="center"/>
    </xf>
    <xf applyAlignment="1" borderId="28" fillId="20" fontId="130" numFmtId="38" pivotButton="0" quotePrefix="0" xfId="15">
      <alignment vertical="center"/>
    </xf>
    <xf borderId="48" fillId="0" fontId="11" numFmtId="169" pivotButton="0" quotePrefix="0" xfId="24"/>
    <xf borderId="0" fillId="0" fontId="63" numFmtId="169" pivotButton="0" quotePrefix="0" xfId="0"/>
    <xf borderId="0" fillId="0" fontId="63" numFmtId="164" pivotButton="0" quotePrefix="0" xfId="0"/>
    <xf borderId="0" fillId="0" fontId="11" numFmtId="169" pivotButton="0" quotePrefix="0" xfId="0"/>
    <xf borderId="0" fillId="0" fontId="11" numFmtId="164" pivotButton="0" quotePrefix="0" xfId="0"/>
    <xf borderId="48" fillId="0" fontId="8" numFmtId="169" pivotButton="0" quotePrefix="0" xfId="24"/>
    <xf borderId="0" fillId="0" fontId="11" numFmtId="9" pivotButton="0" quotePrefix="0" xfId="50"/>
    <xf borderId="0" fillId="0" fontId="11" numFmtId="180" pivotButton="0" quotePrefix="0" xfId="0"/>
    <xf borderId="0" fillId="26" fontId="199" numFmtId="38" pivotButton="0" quotePrefix="0" xfId="0"/>
    <xf borderId="0" fillId="0" fontId="11" numFmtId="164" pivotButton="0" quotePrefix="0" xfId="0"/>
    <xf borderId="0" fillId="0" fontId="48" numFmtId="164" pivotButton="0" quotePrefix="0" xfId="0"/>
    <xf borderId="49" fillId="0" fontId="119" numFmtId="9" pivotButton="0" quotePrefix="0" xfId="50"/>
    <xf borderId="0" fillId="0" fontId="22" numFmtId="164" pivotButton="0" quotePrefix="0" xfId="0"/>
    <xf applyAlignment="1" borderId="49" fillId="18" fontId="20" numFmtId="49" pivotButton="0" quotePrefix="0" xfId="0">
      <alignment horizontal="left" vertical="center"/>
    </xf>
    <xf borderId="0" fillId="0" fontId="119" numFmtId="9" pivotButton="0" quotePrefix="0" xfId="50"/>
    <xf borderId="0" fillId="0" fontId="6" numFmtId="164" pivotButton="0" quotePrefix="0" xfId="0"/>
    <xf borderId="0" fillId="0" fontId="6" numFmtId="9" pivotButton="0" quotePrefix="0" xfId="50"/>
    <xf borderId="0" fillId="20" fontId="5" numFmtId="175" pivotButton="0" quotePrefix="0" xfId="43"/>
    <xf borderId="0" fillId="0" fontId="6" numFmtId="164" pivotButton="0" quotePrefix="0" xfId="0"/>
    <xf borderId="0" fillId="31" fontId="16" numFmtId="165" pivotButton="0" quotePrefix="0" xfId="43"/>
    <xf borderId="0" fillId="31" fontId="69" numFmtId="165" pivotButton="0" quotePrefix="0" xfId="43"/>
    <xf borderId="0" fillId="31" fontId="18" numFmtId="165" pivotButton="0" quotePrefix="0" xfId="43"/>
    <xf borderId="0" fillId="20" fontId="69" numFmtId="165" pivotButton="0" quotePrefix="0" xfId="43"/>
    <xf borderId="0" fillId="20" fontId="18" numFmtId="165" pivotButton="0" quotePrefix="0" xfId="43"/>
    <xf borderId="0" fillId="0" fontId="6" numFmtId="171" pivotButton="0" quotePrefix="0" xfId="0"/>
    <xf applyAlignment="1" borderId="0" fillId="51" fontId="5" numFmtId="164" pivotButton="0" quotePrefix="0" xfId="0">
      <alignment horizontal="right"/>
    </xf>
    <xf borderId="0" fillId="51" fontId="5" numFmtId="175" pivotButton="0" quotePrefix="0" xfId="43"/>
    <xf applyAlignment="1" borderId="0" fillId="0" fontId="20" numFmtId="165" pivotButton="0" quotePrefix="0" xfId="43">
      <alignment vertical="center"/>
    </xf>
    <xf applyAlignment="1" borderId="0" fillId="3" fontId="20" numFmtId="14" pivotButton="0" quotePrefix="0" xfId="0">
      <alignment vertical="center"/>
    </xf>
    <xf borderId="0" fillId="3" fontId="72" numFmtId="165" pivotButton="0" quotePrefix="0" xfId="43"/>
    <xf applyAlignment="1" borderId="28" fillId="0" fontId="5" numFmtId="38" pivotButton="0" quotePrefix="0" xfId="39">
      <alignment vertical="center"/>
    </xf>
    <xf borderId="0" fillId="0" fontId="144" numFmtId="9" pivotButton="0" quotePrefix="0" xfId="50"/>
    <xf borderId="0" fillId="0" fontId="200" numFmtId="165" pivotButton="0" quotePrefix="0" xfId="43"/>
    <xf borderId="0" fillId="0" fontId="201" numFmtId="165" pivotButton="0" quotePrefix="0" xfId="43"/>
    <xf borderId="0" fillId="3" fontId="56" numFmtId="165" pivotButton="0" quotePrefix="0" xfId="0"/>
    <xf borderId="0" fillId="3" fontId="56" numFmtId="165" pivotButton="0" quotePrefix="0" xfId="43"/>
    <xf borderId="0" fillId="0" fontId="48" numFmtId="165" pivotButton="0" quotePrefix="0" xfId="43"/>
    <xf borderId="0" fillId="0" fontId="6" numFmtId="165" pivotButton="0" quotePrefix="0" xfId="43"/>
    <xf borderId="0" fillId="0" fontId="6" numFmtId="171" pivotButton="0" quotePrefix="0" xfId="0"/>
    <xf borderId="0" fillId="95" fontId="5" numFmtId="49" pivotButton="0" quotePrefix="0" xfId="0"/>
    <xf borderId="0" fillId="95" fontId="71" numFmtId="165" pivotButton="0" quotePrefix="0" xfId="43"/>
    <xf borderId="0" fillId="95" fontId="72" numFmtId="165" pivotButton="0" quotePrefix="0" xfId="43"/>
    <xf applyAlignment="1" borderId="7" fillId="0" fontId="11" numFmtId="38" pivotButton="0" quotePrefix="0" xfId="39">
      <alignment vertical="center"/>
    </xf>
    <xf borderId="182" fillId="40" fontId="2" numFmtId="164" pivotButton="0" quotePrefix="0" xfId="24"/>
    <xf borderId="182" fillId="40" fontId="2" numFmtId="9" pivotButton="0" quotePrefix="0" xfId="50"/>
    <xf borderId="127" fillId="0" fontId="53" numFmtId="190" pivotButton="0" quotePrefix="0" xfId="274"/>
    <xf borderId="40" fillId="4" fontId="53" numFmtId="190" pivotButton="0" quotePrefix="0" xfId="29"/>
    <xf borderId="40" fillId="4" fontId="53" numFmtId="191" pivotButton="0" quotePrefix="0" xfId="29"/>
    <xf borderId="186" fillId="0" fontId="5" numFmtId="177" pivotButton="0" quotePrefix="0" xfId="579"/>
    <xf borderId="186" fillId="65" fontId="5" numFmtId="174" pivotButton="0" quotePrefix="0" xfId="579"/>
    <xf borderId="186" fillId="0" fontId="5" numFmtId="174" pivotButton="0" quotePrefix="0" xfId="579"/>
    <xf borderId="186" fillId="65" fontId="204" numFmtId="174" pivotButton="0" quotePrefix="0" xfId="579"/>
    <xf applyAlignment="1" borderId="187" fillId="0" fontId="52" numFmtId="165" pivotButton="0" quotePrefix="0" xfId="14">
      <alignment horizontal="center" vertical="center"/>
    </xf>
    <xf borderId="188" fillId="40" fontId="64" numFmtId="164" pivotButton="0" quotePrefix="0" xfId="24"/>
    <xf applyAlignment="1" borderId="188" fillId="40" fontId="10" numFmtId="164" pivotButton="0" quotePrefix="0" xfId="24">
      <alignment horizontal="center"/>
    </xf>
    <xf applyAlignment="1" borderId="189" fillId="40" fontId="2" numFmtId="164" pivotButton="0" quotePrefix="0" xfId="24">
      <alignment horizontal="center"/>
    </xf>
    <xf applyAlignment="1" borderId="189" fillId="40" fontId="2" numFmtId="9" pivotButton="0" quotePrefix="0" xfId="50">
      <alignment horizontal="center"/>
    </xf>
    <xf applyAlignment="1" borderId="189" fillId="40" fontId="2" numFmtId="49" pivotButton="0" quotePrefix="0" xfId="24">
      <alignment horizontal="center"/>
    </xf>
    <xf applyAlignment="1" borderId="189" fillId="93" fontId="8" numFmtId="164" pivotButton="0" quotePrefix="0" xfId="39">
      <alignment horizontal="center" vertical="center"/>
    </xf>
    <xf applyAlignment="1" borderId="189" fillId="3" fontId="8" numFmtId="164" pivotButton="0" quotePrefix="0" xfId="39">
      <alignment horizontal="center" vertical="center"/>
    </xf>
    <xf applyAlignment="1" borderId="190" fillId="3" fontId="8" numFmtId="164" pivotButton="0" quotePrefix="0" xfId="39">
      <alignment horizontal="center" vertical="center"/>
    </xf>
    <xf applyAlignment="1" borderId="191" fillId="28" fontId="8" numFmtId="38" pivotButton="0" quotePrefix="0" xfId="39">
      <alignment vertical="center"/>
    </xf>
    <xf applyAlignment="1" borderId="192" fillId="28" fontId="8" numFmtId="38" pivotButton="0" quotePrefix="0" xfId="39">
      <alignment vertical="center"/>
    </xf>
    <xf applyAlignment="1" borderId="193" fillId="28" fontId="8" numFmtId="38" pivotButton="0" quotePrefix="0" xfId="39">
      <alignment vertical="center"/>
    </xf>
    <xf applyAlignment="1" borderId="194" fillId="28" fontId="8" numFmtId="38" pivotButton="0" quotePrefix="0" xfId="39">
      <alignment vertical="center"/>
    </xf>
    <xf applyAlignment="1" borderId="190" fillId="28" fontId="8" numFmtId="38" pivotButton="0" quotePrefix="0" xfId="15">
      <alignment vertical="center"/>
    </xf>
    <xf borderId="188" fillId="28" fontId="8" numFmtId="164" pivotButton="0" quotePrefix="0" xfId="24"/>
    <xf borderId="189" fillId="28" fontId="8" numFmtId="9" pivotButton="0" quotePrefix="0" xfId="50"/>
    <xf borderId="190" fillId="28" fontId="8" numFmtId="164" pivotButton="0" quotePrefix="0" xfId="24"/>
    <xf applyAlignment="1" borderId="195" fillId="28" fontId="8" numFmtId="38" pivotButton="0" quotePrefix="0" xfId="39">
      <alignment vertical="center"/>
    </xf>
    <xf applyAlignment="1" borderId="190" fillId="28" fontId="8" numFmtId="38" pivotButton="0" quotePrefix="0" xfId="39">
      <alignment vertical="center"/>
    </xf>
    <xf applyAlignment="1" borderId="190" fillId="28" fontId="11" numFmtId="38" pivotButton="0" quotePrefix="0" xfId="39">
      <alignment vertical="center"/>
    </xf>
    <xf borderId="186" fillId="0" fontId="8" numFmtId="164" pivotButton="0" quotePrefix="0" xfId="24"/>
    <xf applyAlignment="1" borderId="193" fillId="0" fontId="8" numFmtId="38" pivotButton="0" quotePrefix="0" xfId="39">
      <alignment vertical="center"/>
    </xf>
    <xf applyAlignment="1" borderId="194" fillId="0" fontId="8" numFmtId="38" pivotButton="0" quotePrefix="0" xfId="39">
      <alignment vertical="center"/>
    </xf>
    <xf applyAlignment="1" borderId="195" fillId="0" fontId="8" numFmtId="38" pivotButton="0" quotePrefix="0" xfId="39">
      <alignment vertical="center"/>
    </xf>
    <xf borderId="186" fillId="28" fontId="11" numFmtId="169" pivotButton="0" quotePrefix="0" xfId="24"/>
    <xf borderId="189" fillId="28" fontId="11" numFmtId="9" pivotButton="0" quotePrefix="0" xfId="50"/>
    <xf borderId="190" fillId="28" fontId="11" numFmtId="169" pivotButton="0" quotePrefix="0" xfId="24"/>
    <xf applyAlignment="1" borderId="193" fillId="28" fontId="11" numFmtId="38" pivotButton="0" quotePrefix="0" xfId="39">
      <alignment vertical="center"/>
    </xf>
    <xf applyAlignment="1" borderId="194" fillId="28" fontId="11" numFmtId="38" pivotButton="0" quotePrefix="0" xfId="39">
      <alignment vertical="center"/>
    </xf>
    <xf applyAlignment="1" borderId="195" fillId="28" fontId="11" numFmtId="38" pivotButton="0" quotePrefix="0" xfId="39">
      <alignment vertical="center"/>
    </xf>
    <xf applyAlignment="1" borderId="190" fillId="28" fontId="16" numFmtId="38" pivotButton="0" quotePrefix="0" xfId="39">
      <alignment vertical="center"/>
    </xf>
    <xf applyAlignment="1" borderId="199" fillId="28" fontId="11" numFmtId="38" pivotButton="0" quotePrefix="0" xfId="39">
      <alignment vertical="center"/>
    </xf>
    <xf applyAlignment="1" borderId="198" fillId="28" fontId="11" numFmtId="38" pivotButton="0" quotePrefix="0" xfId="39">
      <alignment vertical="center"/>
    </xf>
    <xf applyAlignment="1" borderId="193" fillId="26" fontId="8" numFmtId="38" pivotButton="0" quotePrefix="0" xfId="39">
      <alignment vertical="center"/>
    </xf>
    <xf applyAlignment="1" borderId="194" fillId="26" fontId="8" numFmtId="38" pivotButton="0" quotePrefix="0" xfId="39">
      <alignment vertical="center"/>
    </xf>
    <xf applyAlignment="1" borderId="195" fillId="26" fontId="8" numFmtId="38" pivotButton="0" quotePrefix="0" xfId="39">
      <alignment vertical="center"/>
    </xf>
    <xf applyAlignment="1" borderId="190" fillId="26" fontId="8" numFmtId="38" pivotButton="0" quotePrefix="0" xfId="39">
      <alignment vertical="center"/>
    </xf>
    <xf borderId="188" fillId="26" fontId="8" numFmtId="164" pivotButton="0" quotePrefix="0" xfId="24"/>
    <xf borderId="189" fillId="26" fontId="8" numFmtId="9" pivotButton="0" quotePrefix="0" xfId="50"/>
    <xf borderId="190" fillId="26" fontId="8" numFmtId="164" pivotButton="0" quotePrefix="0" xfId="24"/>
    <xf applyAlignment="1" borderId="191" fillId="26" fontId="8" numFmtId="38" pivotButton="0" quotePrefix="0" xfId="39">
      <alignment vertical="center"/>
    </xf>
    <xf applyAlignment="1" borderId="192" fillId="26" fontId="8" numFmtId="38" pivotButton="0" quotePrefix="0" xfId="39">
      <alignment vertical="center"/>
    </xf>
    <xf borderId="186" fillId="26" fontId="11" numFmtId="169" pivotButton="0" quotePrefix="0" xfId="24"/>
    <xf borderId="189" fillId="26" fontId="11" numFmtId="9" pivotButton="0" quotePrefix="0" xfId="50"/>
    <xf borderId="190" fillId="26" fontId="11" numFmtId="169" pivotButton="0" quotePrefix="0" xfId="24"/>
    <xf applyAlignment="1" borderId="193" fillId="26" fontId="11" numFmtId="38" pivotButton="0" quotePrefix="0" xfId="39">
      <alignment vertical="center"/>
    </xf>
    <xf applyAlignment="1" borderId="194" fillId="26" fontId="11" numFmtId="38" pivotButton="0" quotePrefix="0" xfId="39">
      <alignment vertical="center"/>
    </xf>
    <xf applyAlignment="1" borderId="195" fillId="26" fontId="11" numFmtId="38" pivotButton="0" quotePrefix="0" xfId="39">
      <alignment vertical="center"/>
    </xf>
    <xf applyAlignment="1" borderId="190" fillId="26" fontId="11" numFmtId="38" pivotButton="0" quotePrefix="0" xfId="39">
      <alignment vertical="center"/>
    </xf>
    <xf applyAlignment="1" borderId="199" fillId="26" fontId="11" numFmtId="38" pivotButton="0" quotePrefix="0" xfId="39">
      <alignment vertical="center"/>
    </xf>
    <xf applyAlignment="1" borderId="198" fillId="26" fontId="11" numFmtId="38" pivotButton="0" quotePrefix="0" xfId="39">
      <alignment vertical="center"/>
    </xf>
    <xf applyAlignment="1" borderId="27" fillId="12" fontId="130" numFmtId="38" pivotButton="0" quotePrefix="0" xfId="39">
      <alignment vertical="center"/>
    </xf>
    <xf applyAlignment="1" borderId="193" fillId="24" fontId="8" numFmtId="38" pivotButton="0" quotePrefix="0" xfId="39">
      <alignment vertical="center"/>
    </xf>
    <xf applyAlignment="1" borderId="194" fillId="24" fontId="8" numFmtId="38" pivotButton="0" quotePrefix="0" xfId="39">
      <alignment vertical="center"/>
    </xf>
    <xf applyAlignment="1" borderId="195" fillId="24" fontId="8" numFmtId="38" pivotButton="0" quotePrefix="0" xfId="39">
      <alignment vertical="center"/>
    </xf>
    <xf applyAlignment="1" borderId="190" fillId="24" fontId="8" numFmtId="38" pivotButton="0" quotePrefix="0" xfId="39">
      <alignment vertical="center"/>
    </xf>
    <xf borderId="188" fillId="24" fontId="8" numFmtId="164" pivotButton="0" quotePrefix="0" xfId="24"/>
    <xf borderId="189" fillId="24" fontId="8" numFmtId="9" pivotButton="0" quotePrefix="0" xfId="50"/>
    <xf borderId="190" fillId="24" fontId="8" numFmtId="164" pivotButton="0" quotePrefix="0" xfId="24"/>
    <xf applyAlignment="1" borderId="191" fillId="24" fontId="8" numFmtId="38" pivotButton="0" quotePrefix="0" xfId="39">
      <alignment vertical="center"/>
    </xf>
    <xf applyAlignment="1" borderId="192" fillId="24" fontId="8" numFmtId="38" pivotButton="0" quotePrefix="0" xfId="39">
      <alignment vertical="center"/>
    </xf>
    <xf borderId="186" fillId="24" fontId="11" numFmtId="169" pivotButton="0" quotePrefix="0" xfId="24"/>
    <xf borderId="189" fillId="24" fontId="11" numFmtId="9" pivotButton="0" quotePrefix="0" xfId="50"/>
    <xf borderId="190" fillId="24" fontId="11" numFmtId="169" pivotButton="0" quotePrefix="0" xfId="24"/>
    <xf applyAlignment="1" borderId="193" fillId="24" fontId="11" numFmtId="38" pivotButton="0" quotePrefix="0" xfId="39">
      <alignment vertical="center"/>
    </xf>
    <xf applyAlignment="1" borderId="194" fillId="24" fontId="11" numFmtId="38" pivotButton="0" quotePrefix="0" xfId="39">
      <alignment vertical="center"/>
    </xf>
    <xf applyAlignment="1" borderId="195" fillId="24" fontId="11" numFmtId="38" pivotButton="0" quotePrefix="0" xfId="39">
      <alignment vertical="center"/>
    </xf>
    <xf applyAlignment="1" borderId="190" fillId="24" fontId="11" numFmtId="38" pivotButton="0" quotePrefix="0" xfId="39">
      <alignment vertical="center"/>
    </xf>
    <xf applyAlignment="1" borderId="191" fillId="0" fontId="8" numFmtId="38" pivotButton="0" quotePrefix="0" xfId="15">
      <alignment vertical="center"/>
    </xf>
    <xf applyAlignment="1" borderId="192" fillId="0" fontId="8" numFmtId="38" pivotButton="0" quotePrefix="0" xfId="15">
      <alignment vertical="center"/>
    </xf>
    <xf applyAlignment="1" borderId="186" fillId="3" fontId="19" numFmtId="164" pivotButton="0" quotePrefix="0" xfId="0">
      <alignment vertical="center"/>
    </xf>
    <xf applyAlignment="1" borderId="0" fillId="0" fontId="31" numFmtId="165" pivotButton="0" quotePrefix="0" xfId="43">
      <alignment horizontal="left"/>
    </xf>
    <xf borderId="0" fillId="31" fontId="20" numFmtId="165" pivotButton="0" quotePrefix="0" xfId="43"/>
    <xf borderId="0" fillId="31" fontId="19" numFmtId="165" pivotButton="0" quotePrefix="0" xfId="43"/>
    <xf borderId="0" fillId="21" fontId="20" numFmtId="165" pivotButton="0" quotePrefix="0" xfId="43"/>
    <xf borderId="0" fillId="26" fontId="20" numFmtId="165" pivotButton="0" quotePrefix="0" xfId="43"/>
    <xf borderId="0" fillId="0" fontId="205" numFmtId="165" pivotButton="0" quotePrefix="0" xfId="43"/>
    <xf applyAlignment="1" borderId="191" fillId="0" fontId="21" numFmtId="38" pivotButton="0" quotePrefix="0" xfId="39">
      <alignment vertical="center"/>
    </xf>
    <xf applyAlignment="1" borderId="186" fillId="32" fontId="19" numFmtId="164" pivotButton="0" quotePrefix="0" xfId="0">
      <alignment vertical="center"/>
    </xf>
    <xf borderId="0" fillId="0" fontId="55" numFmtId="164" pivotButton="0" quotePrefix="0" xfId="24"/>
    <xf applyAlignment="1" borderId="0" fillId="0" fontId="67" numFmtId="38" pivotButton="0" quotePrefix="0" xfId="39">
      <alignment vertical="center"/>
    </xf>
    <xf applyAlignment="1" borderId="28" fillId="0" fontId="11" numFmtId="38" pivotButton="0" quotePrefix="0" xfId="15">
      <alignment vertical="center"/>
    </xf>
    <xf applyAlignment="1" applyProtection="1" borderId="186" fillId="0" fontId="188" numFmtId="174" pivotButton="0" quotePrefix="0" xfId="0">
      <alignment horizontal="center" vertical="center" wrapText="1"/>
      <protection hidden="0" locked="0"/>
    </xf>
    <xf applyProtection="1" borderId="186" fillId="0" fontId="85" numFmtId="38" pivotButton="0" quotePrefix="0" xfId="0">
      <protection hidden="0" locked="0"/>
    </xf>
    <xf applyProtection="1" borderId="186" fillId="0" fontId="181" numFmtId="38" pivotButton="0" quotePrefix="0" xfId="0">
      <protection hidden="0" locked="0"/>
    </xf>
    <xf applyProtection="1" borderId="186" fillId="4" fontId="85" numFmtId="38" pivotButton="0" quotePrefix="0" xfId="0">
      <protection hidden="0" locked="0"/>
    </xf>
    <xf applyProtection="1" borderId="186" fillId="4" fontId="181" numFmtId="38" pivotButton="0" quotePrefix="0" xfId="0">
      <protection hidden="0" locked="0"/>
    </xf>
    <xf applyProtection="1" borderId="186" fillId="4" fontId="183" numFmtId="38" pivotButton="0" quotePrefix="0" xfId="0">
      <protection hidden="0" locked="0"/>
    </xf>
    <xf applyProtection="1" borderId="186" fillId="4" fontId="182" numFmtId="38" pivotButton="0" quotePrefix="0" xfId="0">
      <protection hidden="0" locked="0"/>
    </xf>
    <xf applyAlignment="1" borderId="28" fillId="0" fontId="41" numFmtId="38" pivotButton="0" quotePrefix="0" xfId="39">
      <alignment vertical="center"/>
    </xf>
    <xf applyAlignment="1" borderId="27" fillId="0" fontId="41" numFmtId="38" pivotButton="0" quotePrefix="0" xfId="39">
      <alignment vertical="center"/>
    </xf>
    <xf borderId="0" fillId="0" fontId="209" numFmtId="165" pivotButton="0" quotePrefix="0" xfId="43"/>
    <xf applyAlignment="1" borderId="191" fillId="0" fontId="5" numFmtId="38" pivotButton="0" quotePrefix="0" xfId="39">
      <alignment vertical="center"/>
    </xf>
    <xf borderId="0" fillId="96" fontId="71" numFmtId="165" pivotButton="0" quotePrefix="0" xfId="43"/>
    <xf borderId="200" fillId="40" fontId="65" numFmtId="164" pivotButton="0" quotePrefix="0" xfId="24"/>
    <xf applyAlignment="1" borderId="201" fillId="28" fontId="8" numFmtId="38" pivotButton="0" quotePrefix="0" xfId="39">
      <alignment vertical="center"/>
    </xf>
    <xf borderId="200" fillId="28" fontId="8" numFmtId="164" pivotButton="0" quotePrefix="0" xfId="24"/>
    <xf borderId="200" fillId="28" fontId="8" numFmtId="9" pivotButton="0" quotePrefix="0" xfId="50"/>
    <xf borderId="184" fillId="28" fontId="8" numFmtId="164" pivotButton="0" quotePrefix="0" xfId="24"/>
    <xf applyAlignment="1" borderId="183" fillId="28" fontId="8" numFmtId="38" pivotButton="0" quotePrefix="0" xfId="39">
      <alignment vertical="center"/>
    </xf>
    <xf borderId="184" fillId="3" fontId="8" numFmtId="164" pivotButton="0" quotePrefix="0" xfId="24"/>
    <xf applyAlignment="1" borderId="183" fillId="20" fontId="130" numFmtId="38" pivotButton="0" quotePrefix="0" xfId="39">
      <alignment vertical="center"/>
    </xf>
    <xf borderId="184" fillId="20" fontId="8" numFmtId="164" pivotButton="0" quotePrefix="0" xfId="24"/>
    <xf applyAlignment="1" borderId="183" fillId="20" fontId="8" numFmtId="38" pivotButton="0" quotePrefix="0" xfId="39">
      <alignment vertical="center"/>
    </xf>
    <xf applyAlignment="1" borderId="201" fillId="0" fontId="8" numFmtId="38" pivotButton="0" quotePrefix="0" xfId="39">
      <alignment vertical="center"/>
    </xf>
    <xf borderId="184" fillId="0" fontId="8" numFmtId="164" pivotButton="0" quotePrefix="0" xfId="24"/>
    <xf borderId="200" fillId="26" fontId="8" numFmtId="164" pivotButton="0" quotePrefix="0" xfId="24"/>
    <xf borderId="200" fillId="26" fontId="8" numFmtId="9" pivotButton="0" quotePrefix="0" xfId="50"/>
    <xf borderId="184" fillId="26" fontId="8" numFmtId="164" pivotButton="0" quotePrefix="0" xfId="24"/>
    <xf applyAlignment="1" borderId="183" fillId="26" fontId="8" numFmtId="38" pivotButton="0" quotePrefix="0" xfId="39">
      <alignment vertical="center"/>
    </xf>
    <xf applyAlignment="1" borderId="201" fillId="26" fontId="8" numFmtId="38" pivotButton="0" quotePrefix="0" xfId="39">
      <alignment vertical="center"/>
    </xf>
    <xf borderId="200" fillId="26" fontId="42" numFmtId="9" pivotButton="0" quotePrefix="0" xfId="50"/>
    <xf borderId="184" fillId="26" fontId="8" numFmtId="9" pivotButton="0" quotePrefix="0" xfId="50"/>
    <xf borderId="200" fillId="26" fontId="11" numFmtId="9" pivotButton="0" quotePrefix="0" xfId="50"/>
    <xf borderId="200" fillId="24" fontId="8" numFmtId="164" pivotButton="0" quotePrefix="0" xfId="24"/>
    <xf borderId="200" fillId="24" fontId="8" numFmtId="9" pivotButton="0" quotePrefix="0" xfId="50"/>
    <xf borderId="184" fillId="24" fontId="8" numFmtId="164" pivotButton="0" quotePrefix="0" xfId="24"/>
    <xf applyAlignment="1" borderId="183" fillId="24" fontId="8" numFmtId="38" pivotButton="0" quotePrefix="0" xfId="39">
      <alignment vertical="center"/>
    </xf>
    <xf applyAlignment="1" borderId="201" fillId="24" fontId="8" numFmtId="38" pivotButton="0" quotePrefix="0" xfId="39">
      <alignment vertical="center"/>
    </xf>
    <xf applyAlignment="1" borderId="183" fillId="0" fontId="8" numFmtId="38" pivotButton="0" quotePrefix="0" xfId="15">
      <alignment vertical="center"/>
    </xf>
    <xf applyAlignment="1" borderId="200" fillId="18" fontId="20" numFmtId="49" pivotButton="0" quotePrefix="0" xfId="0">
      <alignment horizontal="left" vertical="center"/>
    </xf>
    <xf applyAlignment="1" borderId="202" fillId="0" fontId="44" numFmtId="164" pivotButton="0" quotePrefix="0" xfId="0">
      <alignment vertical="center"/>
    </xf>
    <xf applyAlignment="1" borderId="203" fillId="52" fontId="17" numFmtId="164" pivotButton="0" quotePrefix="0" xfId="0">
      <alignment vertical="center"/>
    </xf>
    <xf applyAlignment="1" borderId="203" fillId="50" fontId="17" numFmtId="164" pivotButton="0" quotePrefix="0" xfId="0">
      <alignment vertical="center"/>
    </xf>
    <xf borderId="204" fillId="3" fontId="5" numFmtId="164" pivotButton="0" quotePrefix="0" xfId="24"/>
    <xf borderId="204" fillId="22" fontId="5" numFmtId="164" pivotButton="0" quotePrefix="0" xfId="24"/>
    <xf applyAlignment="1" borderId="202" fillId="0" fontId="44" numFmtId="164" pivotButton="0" quotePrefix="0" xfId="0">
      <alignment horizontal="center" vertical="center"/>
    </xf>
    <xf applyAlignment="1" borderId="183" fillId="22" fontId="5" numFmtId="38" pivotButton="0" quotePrefix="0" xfId="39">
      <alignment vertical="center"/>
    </xf>
    <xf applyAlignment="1" borderId="183" fillId="0" fontId="5" numFmtId="38" pivotButton="0" quotePrefix="0" xfId="39">
      <alignment vertical="center"/>
    </xf>
    <xf applyAlignment="1" borderId="183" fillId="0" fontId="21" numFmtId="38" pivotButton="0" quotePrefix="0" xfId="39">
      <alignment vertical="center"/>
    </xf>
    <xf applyAlignment="1" borderId="183" fillId="61" fontId="5" numFmtId="38" pivotButton="0" quotePrefix="0" xfId="39">
      <alignment vertical="center"/>
    </xf>
    <xf applyAlignment="1" borderId="203" fillId="32" fontId="19" numFmtId="164" pivotButton="0" quotePrefix="0" xfId="0">
      <alignment vertical="center"/>
    </xf>
    <xf applyAlignment="1" borderId="205" fillId="20" fontId="67" numFmtId="38" pivotButton="0" quotePrefix="0" xfId="39">
      <alignment vertical="center"/>
    </xf>
    <xf borderId="203" fillId="0" fontId="0" numFmtId="177" pivotButton="0" quotePrefix="0" xfId="0"/>
    <xf borderId="203" fillId="65" fontId="0" numFmtId="174" pivotButton="0" quotePrefix="0" xfId="0"/>
    <xf borderId="203" fillId="0" fontId="0" numFmtId="174" pivotButton="0" quotePrefix="0" xfId="0"/>
    <xf borderId="203" fillId="65" fontId="204" numFmtId="174" pivotButton="0" quotePrefix="0" xfId="0"/>
    <xf borderId="203" fillId="3" fontId="203" numFmtId="174" pivotButton="0" quotePrefix="0" xfId="0"/>
    <xf applyAlignment="1" borderId="3" fillId="8" fontId="24" numFmtId="164" pivotButton="0" quotePrefix="0" xfId="18">
      <alignment horizontal="center" vertical="center"/>
    </xf>
    <xf applyAlignment="1" borderId="3" fillId="5" fontId="24" numFmtId="164" pivotButton="0" quotePrefix="0" xfId="18">
      <alignment horizontal="center" vertical="center"/>
    </xf>
    <xf applyAlignment="1" borderId="3" fillId="8" fontId="24" numFmtId="164" pivotButton="0" quotePrefix="0" xfId="18">
      <alignment horizontal="center" vertical="center" wrapText="1"/>
    </xf>
    <xf applyAlignment="1" borderId="54" fillId="0" fontId="27" numFmtId="164" pivotButton="0" quotePrefix="0" xfId="18">
      <alignment horizontal="center" vertical="center" wrapText="1"/>
    </xf>
    <xf applyAlignment="1" borderId="127" fillId="0" fontId="27" numFmtId="164" pivotButton="0" quotePrefix="0" xfId="18">
      <alignment horizontal="center" vertical="center"/>
    </xf>
    <xf applyAlignment="1" borderId="48" fillId="0" fontId="27" numFmtId="164" pivotButton="0" quotePrefix="0" xfId="18">
      <alignment horizontal="center" vertical="center" wrapText="1"/>
    </xf>
    <xf applyAlignment="1" borderId="29" fillId="0" fontId="27" numFmtId="164" pivotButton="0" quotePrefix="0" xfId="18">
      <alignment horizontal="center" vertical="center"/>
    </xf>
    <xf applyAlignment="1" borderId="3" fillId="10" fontId="17" numFmtId="164" pivotButton="0" quotePrefix="0" xfId="18">
      <alignment horizontal="center" vertical="center"/>
    </xf>
    <xf applyAlignment="1" borderId="54" fillId="0" fontId="27" numFmtId="164" pivotButton="0" quotePrefix="0" xfId="18">
      <alignment horizontal="center" vertical="center"/>
    </xf>
    <xf applyAlignment="1" borderId="33" fillId="0" fontId="27" numFmtId="164" pivotButton="0" quotePrefix="0" xfId="18">
      <alignment horizontal="center" vertical="center" wrapText="1"/>
    </xf>
    <xf applyAlignment="1" borderId="0" fillId="0" fontId="74" numFmtId="177" pivotButton="0" quotePrefix="0" xfId="0">
      <alignment horizontal="center"/>
    </xf>
    <xf applyAlignment="1" borderId="49" fillId="35" fontId="87" numFmtId="174" pivotButton="0" quotePrefix="0" xfId="0">
      <alignment horizontal="center"/>
    </xf>
    <xf applyAlignment="1" borderId="7" fillId="35" fontId="87" numFmtId="174" pivotButton="0" quotePrefix="0" xfId="0">
      <alignment horizontal="center"/>
    </xf>
    <xf applyAlignment="1" borderId="5" fillId="35" fontId="87" numFmtId="174" pivotButton="0" quotePrefix="0" xfId="0">
      <alignment horizontal="center"/>
    </xf>
    <xf applyAlignment="1" borderId="4" fillId="35" fontId="87" numFmtId="174" pivotButton="0" quotePrefix="0" xfId="0">
      <alignment horizontal="center"/>
    </xf>
    <xf applyAlignment="1" borderId="3" fillId="35" fontId="138" numFmtId="174" pivotButton="0" quotePrefix="0" xfId="0">
      <alignment horizontal="left"/>
    </xf>
    <xf applyAlignment="1" borderId="13" fillId="0" fontId="104" numFmtId="172" pivotButton="0" quotePrefix="0" xfId="29">
      <alignment horizontal="center" vertical="center"/>
    </xf>
    <xf applyAlignment="1" borderId="0" fillId="0" fontId="105" numFmtId="164" pivotButton="0" quotePrefix="0" xfId="29">
      <alignment horizontal="center" vertical="center"/>
    </xf>
    <xf applyAlignment="1" borderId="51" fillId="0" fontId="60" numFmtId="164" pivotButton="0" quotePrefix="0" xfId="23">
      <alignment horizontal="center" vertical="center"/>
    </xf>
    <xf applyAlignment="1" borderId="52" fillId="0" fontId="60" numFmtId="164" pivotButton="0" quotePrefix="0" xfId="23">
      <alignment horizontal="center" vertical="center"/>
    </xf>
    <xf applyAlignment="1" borderId="53" fillId="0" fontId="60" numFmtId="164" pivotButton="0" quotePrefix="0" xfId="23">
      <alignment horizontal="center" vertical="center"/>
    </xf>
    <xf applyAlignment="1" borderId="78" fillId="48" fontId="111" numFmtId="168" pivotButton="0" quotePrefix="0" xfId="29">
      <alignment horizontal="center" vertical="center"/>
    </xf>
    <xf applyAlignment="1" borderId="71" fillId="48" fontId="111" numFmtId="168" pivotButton="0" quotePrefix="0" xfId="29">
      <alignment horizontal="center" vertical="center"/>
    </xf>
    <xf applyAlignment="1" borderId="79" fillId="41" fontId="106" numFmtId="168" pivotButton="0" quotePrefix="0" xfId="29">
      <alignment horizontal="center" vertical="center"/>
    </xf>
    <xf applyAlignment="1" borderId="81" fillId="41" fontId="106" numFmtId="168" pivotButton="0" quotePrefix="0" xfId="29">
      <alignment horizontal="center" vertical="center"/>
    </xf>
    <xf applyAlignment="1" borderId="79" fillId="45" fontId="110" numFmtId="168" pivotButton="0" quotePrefix="0" xfId="29">
      <alignment horizontal="center" vertical="center"/>
    </xf>
    <xf applyAlignment="1" borderId="81" fillId="45" fontId="110" numFmtId="168" pivotButton="0" quotePrefix="0" xfId="29">
      <alignment horizontal="center" vertical="center"/>
    </xf>
    <xf applyAlignment="1" borderId="78" fillId="47" fontId="111" numFmtId="168" pivotButton="0" quotePrefix="0" xfId="29">
      <alignment horizontal="center" vertical="center"/>
    </xf>
    <xf applyAlignment="1" borderId="71" fillId="47" fontId="111" numFmtId="168" pivotButton="0" quotePrefix="0" xfId="29">
      <alignment horizontal="center" vertical="center"/>
    </xf>
    <xf applyAlignment="1" borderId="96" fillId="41" fontId="106" numFmtId="172" pivotButton="0" quotePrefix="0" xfId="29">
      <alignment horizontal="left" vertical="center"/>
    </xf>
    <xf applyAlignment="1" borderId="97" fillId="41" fontId="106" numFmtId="172" pivotButton="0" quotePrefix="0" xfId="29">
      <alignment horizontal="left" vertical="center"/>
    </xf>
    <xf applyAlignment="1" borderId="96" fillId="45" fontId="106" numFmtId="172" pivotButton="0" quotePrefix="0" xfId="29">
      <alignment horizontal="left" vertical="center"/>
    </xf>
    <xf applyAlignment="1" borderId="97" fillId="45" fontId="106" numFmtId="172" pivotButton="0" quotePrefix="0" xfId="29">
      <alignment horizontal="left" vertical="center"/>
    </xf>
    <xf applyAlignment="1" borderId="96" fillId="47" fontId="106" numFmtId="172" pivotButton="0" quotePrefix="0" xfId="29">
      <alignment horizontal="left" vertical="center"/>
    </xf>
    <xf applyAlignment="1" borderId="97" fillId="47" fontId="106" numFmtId="172" pivotButton="0" quotePrefix="0" xfId="29">
      <alignment horizontal="left" vertical="center"/>
    </xf>
    <xf applyAlignment="1" borderId="72" fillId="47" fontId="111" numFmtId="168" pivotButton="0" quotePrefix="0" xfId="29">
      <alignment horizontal="center" vertical="center"/>
    </xf>
    <xf applyAlignment="1" borderId="99" fillId="48" fontId="111" numFmtId="168" pivotButton="0" quotePrefix="0" xfId="29">
      <alignment horizontal="center" vertical="center"/>
    </xf>
    <xf applyAlignment="1" borderId="96" fillId="48" fontId="106" numFmtId="172" pivotButton="0" quotePrefix="0" xfId="29">
      <alignment horizontal="left" vertical="center"/>
    </xf>
    <xf applyAlignment="1" borderId="97" fillId="48" fontId="106" numFmtId="172" pivotButton="0" quotePrefix="0" xfId="29">
      <alignment horizontal="left" vertical="center"/>
    </xf>
    <xf applyAlignment="1" borderId="127" fillId="0" fontId="11" numFmtId="169" pivotButton="0" quotePrefix="0" xfId="24">
      <alignment horizontal="center" vertical="center"/>
    </xf>
    <xf applyAlignment="1" borderId="164" fillId="0" fontId="11" numFmtId="169" pivotButton="0" quotePrefix="0" xfId="24">
      <alignment horizontal="center" vertical="center"/>
    </xf>
    <xf applyAlignment="1" borderId="0" fillId="0" fontId="150" numFmtId="164" pivotButton="0" quotePrefix="0" xfId="0">
      <alignment horizontal="center" vertical="center"/>
    </xf>
    <xf applyAlignment="1" borderId="133" fillId="0" fontId="149" numFmtId="164" pivotButton="0" quotePrefix="0" xfId="0">
      <alignment horizontal="center" vertical="center"/>
    </xf>
    <xf applyAlignment="1" borderId="48" fillId="0" fontId="149" numFmtId="164" pivotButton="0" quotePrefix="0" xfId="0">
      <alignment horizontal="center" vertical="center"/>
    </xf>
    <xf applyAlignment="1" borderId="54" fillId="0" fontId="149" numFmtId="164" pivotButton="0" quotePrefix="0" xfId="0">
      <alignment horizontal="center" vertical="center"/>
    </xf>
    <xf applyAlignment="1" borderId="153" fillId="0" fontId="11" numFmtId="169" pivotButton="0" quotePrefix="0" xfId="24">
      <alignment horizontal="center" vertical="center"/>
    </xf>
    <xf applyAlignment="1" borderId="48" fillId="0" fontId="11" numFmtId="169" pivotButton="0" quotePrefix="0" xfId="24">
      <alignment horizontal="center" vertical="center"/>
    </xf>
    <xf applyAlignment="1" borderId="54" fillId="0" fontId="11" numFmtId="169" pivotButton="0" quotePrefix="0" xfId="24">
      <alignment horizontal="center" vertical="center"/>
    </xf>
    <xf applyAlignment="1" borderId="133" fillId="0" fontId="11" numFmtId="169" pivotButton="0" quotePrefix="0" xfId="24">
      <alignment horizontal="center" vertical="center"/>
    </xf>
    <xf applyAlignment="1" borderId="0" fillId="64" fontId="62" numFmtId="164" pivotButton="0" quotePrefix="0" xfId="0">
      <alignment horizontal="center" vertical="center"/>
    </xf>
    <xf applyAlignment="1" borderId="185" fillId="13" fontId="10" numFmtId="164" pivotButton="0" quotePrefix="1" xfId="24">
      <alignment horizontal="center" vertical="center" wrapText="1"/>
    </xf>
    <xf applyAlignment="1" borderId="7" fillId="13" fontId="10" numFmtId="164" pivotButton="0" quotePrefix="1" xfId="24">
      <alignment horizontal="center" vertical="center" wrapText="1"/>
    </xf>
    <xf applyAlignment="1" borderId="0" fillId="63" fontId="62" numFmtId="164" pivotButton="0" quotePrefix="0" xfId="0">
      <alignment horizontal="center" vertical="center"/>
    </xf>
    <xf applyAlignment="1" borderId="0" fillId="20" fontId="6" numFmtId="164" pivotButton="0" quotePrefix="0" xfId="0">
      <alignment horizontal="center" vertical="center"/>
    </xf>
    <xf applyAlignment="1" borderId="189" fillId="93" fontId="5" numFmtId="167" pivotButton="0" quotePrefix="0" xfId="15">
      <alignment horizontal="center"/>
    </xf>
    <xf applyAlignment="1" borderId="189" fillId="3" fontId="5" numFmtId="167" pivotButton="0" quotePrefix="0" xfId="15">
      <alignment horizontal="center"/>
    </xf>
    <xf applyAlignment="1" borderId="190" fillId="3" fontId="5" numFmtId="167" pivotButton="0" quotePrefix="0" xfId="15">
      <alignment horizontal="center"/>
    </xf>
    <xf applyAlignment="1" borderId="0" fillId="0" fontId="19" numFmtId="14" pivotButton="0" quotePrefix="0" xfId="0">
      <alignment horizontal="center" vertical="center"/>
    </xf>
    <xf applyAlignment="1" borderId="0" fillId="0" fontId="117" numFmtId="164" pivotButton="0" quotePrefix="0" xfId="0">
      <alignment horizontal="center"/>
    </xf>
    <xf applyAlignment="1" borderId="188" fillId="26" fontId="8" numFmtId="169" pivotButton="0" quotePrefix="0" xfId="24">
      <alignment horizontal="left"/>
    </xf>
    <xf applyAlignment="1" borderId="189" fillId="26" fontId="8" numFmtId="169" pivotButton="0" quotePrefix="0" xfId="24">
      <alignment horizontal="left"/>
    </xf>
    <xf applyAlignment="1" borderId="190" fillId="26" fontId="8" numFmtId="169" pivotButton="0" quotePrefix="0" xfId="24">
      <alignment horizontal="left"/>
    </xf>
    <xf applyAlignment="1" borderId="196" fillId="26" fontId="11" numFmtId="169" pivotButton="0" quotePrefix="0" xfId="24">
      <alignment horizontal="left"/>
    </xf>
    <xf applyAlignment="1" borderId="197" fillId="26" fontId="11" numFmtId="169" pivotButton="0" quotePrefix="0" xfId="24">
      <alignment horizontal="left"/>
    </xf>
    <xf applyAlignment="1" borderId="198" fillId="26" fontId="11" numFmtId="169" pivotButton="0" quotePrefix="0" xfId="24">
      <alignment horizontal="left"/>
    </xf>
    <xf applyAlignment="1" borderId="188" fillId="24" fontId="8" numFmtId="169" pivotButton="0" quotePrefix="0" xfId="24">
      <alignment horizontal="left"/>
    </xf>
    <xf applyAlignment="1" borderId="189" fillId="24" fontId="8" numFmtId="169" pivotButton="0" quotePrefix="0" xfId="24">
      <alignment horizontal="left"/>
    </xf>
    <xf applyAlignment="1" borderId="190" fillId="24" fontId="8" numFmtId="169" pivotButton="0" quotePrefix="0" xfId="24">
      <alignment horizontal="left"/>
    </xf>
    <xf applyAlignment="1" borderId="188" fillId="28" fontId="8" numFmtId="169" pivotButton="0" quotePrefix="0" xfId="24">
      <alignment horizontal="left"/>
    </xf>
    <xf applyAlignment="1" borderId="189" fillId="28" fontId="8" numFmtId="169" pivotButton="0" quotePrefix="0" xfId="24">
      <alignment horizontal="left"/>
    </xf>
    <xf applyAlignment="1" borderId="190" fillId="28" fontId="8" numFmtId="169" pivotButton="0" quotePrefix="0" xfId="24">
      <alignment horizontal="left"/>
    </xf>
    <xf applyAlignment="1" borderId="196" fillId="28" fontId="11" numFmtId="169" pivotButton="0" quotePrefix="0" xfId="24">
      <alignment horizontal="left"/>
    </xf>
    <xf applyAlignment="1" borderId="197" fillId="28" fontId="11" numFmtId="169" pivotButton="0" quotePrefix="0" xfId="24">
      <alignment horizontal="left"/>
    </xf>
    <xf applyAlignment="1" borderId="198" fillId="28" fontId="11" numFmtId="169" pivotButton="0" quotePrefix="0" xfId="24">
      <alignment horizontal="left"/>
    </xf>
    <xf applyAlignment="1" borderId="0" fillId="26" fontId="8" numFmtId="164" pivotButton="0" quotePrefix="0" xfId="0">
      <alignment horizontal="center" vertical="center"/>
    </xf>
    <xf applyAlignment="1" borderId="0" fillId="49" fontId="8" numFmtId="164" pivotButton="0" quotePrefix="0" xfId="0">
      <alignment horizontal="center" vertical="center"/>
    </xf>
    <xf applyAlignment="1" borderId="126" fillId="0" fontId="52" numFmtId="172" pivotButton="0" quotePrefix="0" xfId="29">
      <alignment horizontal="center" vertical="center"/>
    </xf>
    <xf applyAlignment="1" borderId="130" fillId="0" fontId="52" numFmtId="172" pivotButton="0" quotePrefix="0" xfId="29">
      <alignment horizontal="center" vertical="center"/>
    </xf>
    <xf applyAlignment="1" borderId="129" fillId="0" fontId="52" numFmtId="172" pivotButton="0" quotePrefix="0" xfId="29">
      <alignment horizontal="center" vertical="center"/>
    </xf>
    <xf applyAlignment="1" borderId="40" fillId="58" fontId="52" numFmtId="172" pivotButton="0" quotePrefix="0" xfId="29">
      <alignment horizontal="center" vertical="center"/>
    </xf>
    <xf applyAlignment="1" borderId="40" fillId="0" fontId="52" numFmtId="172" pivotButton="0" quotePrefix="0" xfId="29">
      <alignment horizontal="center" vertical="center"/>
    </xf>
    <xf applyAlignment="1" borderId="127" fillId="16" fontId="52" numFmtId="172" pivotButton="0" quotePrefix="0" xfId="29">
      <alignment horizontal="center" vertical="center"/>
    </xf>
    <xf applyAlignment="1" borderId="51" fillId="0" fontId="52" numFmtId="172" pivotButton="0" quotePrefix="0" xfId="29">
      <alignment horizontal="center" vertical="center"/>
    </xf>
    <xf applyAlignment="1" borderId="52" fillId="0" fontId="52" numFmtId="172" pivotButton="0" quotePrefix="0" xfId="29">
      <alignment horizontal="center" vertical="center"/>
    </xf>
    <xf applyAlignment="1" borderId="53" fillId="0" fontId="52" numFmtId="172" pivotButton="0" quotePrefix="0" xfId="29">
      <alignment horizontal="center" vertical="center"/>
    </xf>
    <xf applyAlignment="1" borderId="40" fillId="57" fontId="52" numFmtId="172" pivotButton="0" quotePrefix="0" xfId="29">
      <alignment horizontal="center" vertical="center"/>
    </xf>
    <xf applyAlignment="1" borderId="51" fillId="23" fontId="52" numFmtId="172" pivotButton="0" quotePrefix="0" xfId="29">
      <alignment horizontal="center" vertical="center"/>
    </xf>
    <xf applyAlignment="1" borderId="52" fillId="23" fontId="52" numFmtId="172" pivotButton="0" quotePrefix="0" xfId="29">
      <alignment horizontal="center" vertical="center"/>
    </xf>
    <xf applyAlignment="1" borderId="53" fillId="23" fontId="52" numFmtId="172" pivotButton="0" quotePrefix="0" xfId="29">
      <alignment horizontal="center" vertical="center"/>
    </xf>
    <xf applyAlignment="1" borderId="40" fillId="22" fontId="52" numFmtId="172" pivotButton="0" quotePrefix="0" xfId="29">
      <alignment horizontal="center" vertical="center"/>
    </xf>
    <xf applyAlignment="1" borderId="40" fillId="4" fontId="52" numFmtId="172" pivotButton="0" quotePrefix="0" xfId="29">
      <alignment horizontal="center" vertical="center"/>
    </xf>
    <xf applyAlignment="1" applyProtection="1" borderId="179" fillId="0" fontId="188" numFmtId="49" pivotButton="0" quotePrefix="0" xfId="0">
      <alignment horizontal="center" vertical="center" wrapText="1"/>
      <protection hidden="0" locked="0"/>
    </xf>
    <xf applyAlignment="1" applyProtection="1" borderId="0" fillId="0" fontId="188" numFmtId="49" pivotButton="0" quotePrefix="0" xfId="0">
      <alignment horizontal="center" vertical="center" wrapText="1"/>
      <protection hidden="0" locked="0"/>
    </xf>
    <xf applyAlignment="1" borderId="112" fillId="0" fontId="0" numFmtId="164" pivotButton="0" quotePrefix="0" xfId="0">
      <alignment horizontal="center"/>
    </xf>
    <xf applyAlignment="1" borderId="113" fillId="0" fontId="0" numFmtId="164" pivotButton="0" quotePrefix="0" xfId="0">
      <alignment horizontal="center"/>
    </xf>
    <xf applyAlignment="1" borderId="114" fillId="0" fontId="0" numFmtId="164" pivotButton="0" quotePrefix="0" xfId="0">
      <alignment horizontal="center"/>
    </xf>
    <xf applyAlignment="1" borderId="112" fillId="0" fontId="0" numFmtId="164" pivotButton="0" quotePrefix="0" xfId="0">
      <alignment horizontal="left"/>
    </xf>
    <xf applyAlignment="1" borderId="113" fillId="0" fontId="0" numFmtId="164" pivotButton="0" quotePrefix="0" xfId="0">
      <alignment horizontal="left"/>
    </xf>
    <xf applyAlignment="1" borderId="114" fillId="0" fontId="0" numFmtId="164" pivotButton="0" quotePrefix="0" xfId="0">
      <alignment horizontal="left"/>
    </xf>
    <xf applyAlignment="1" borderId="112" fillId="0" fontId="0" numFmtId="164" pivotButton="0" quotePrefix="0" xfId="0">
      <alignment horizontal="left" wrapText="1"/>
    </xf>
    <xf applyAlignment="1" borderId="113" fillId="0" fontId="0" numFmtId="164" pivotButton="0" quotePrefix="0" xfId="0">
      <alignment horizontal="left" wrapText="1"/>
    </xf>
    <xf applyAlignment="1" borderId="114" fillId="0" fontId="0" numFmtId="164" pivotButton="0" quotePrefix="0" xfId="0">
      <alignment horizontal="left" wrapText="1"/>
    </xf>
    <xf applyAlignment="1" borderId="109" fillId="0" fontId="0" numFmtId="164" pivotButton="0" quotePrefix="0" xfId="0">
      <alignment horizontal="left"/>
    </xf>
    <xf applyAlignment="1" borderId="40" fillId="0" fontId="0" numFmtId="164" pivotButton="0" quotePrefix="0" xfId="0">
      <alignment horizontal="left" vertical="center"/>
    </xf>
    <xf applyAlignment="1" borderId="40" fillId="0" fontId="0" numFmtId="164" pivotButton="0" quotePrefix="0" xfId="0">
      <alignment horizontal="left" vertical="center" wrapText="1"/>
    </xf>
    <xf borderId="0" fillId="0" fontId="27" numFmtId="164" pivotButton="0" quotePrefix="0" xfId="0"/>
    <xf applyAlignment="1" borderId="0" fillId="0" fontId="27" numFmtId="164" pivotButton="0" quotePrefix="0" xfId="18">
      <alignment vertical="center"/>
    </xf>
    <xf borderId="0" fillId="0" fontId="28" numFmtId="164" pivotButton="0" quotePrefix="0" xfId="0"/>
    <xf applyAlignment="1" borderId="3" fillId="5" fontId="24" numFmtId="164" pivotButton="0" quotePrefix="0" xfId="18">
      <alignment horizontal="center" vertical="center"/>
    </xf>
    <xf applyAlignment="1" borderId="3" fillId="8" fontId="24" numFmtId="164" pivotButton="0" quotePrefix="0" xfId="18">
      <alignment horizontal="center" vertical="center" wrapText="1"/>
    </xf>
    <xf applyAlignment="1" borderId="3" fillId="8" fontId="24" numFmtId="164" pivotButton="0" quotePrefix="0" xfId="18">
      <alignment horizontal="center" vertical="center"/>
    </xf>
    <xf applyAlignment="1" borderId="0" fillId="0" fontId="27" numFmtId="164" pivotButton="0" quotePrefix="0" xfId="0">
      <alignment wrapText="1"/>
    </xf>
    <xf applyAlignment="1" borderId="127" fillId="5" fontId="29" numFmtId="164" pivotButton="0" quotePrefix="0" xfId="18">
      <alignment horizontal="center" wrapText="1"/>
    </xf>
    <xf applyAlignment="1" borderId="127" fillId="9" fontId="29" numFmtId="164" pivotButton="0" quotePrefix="0" xfId="18">
      <alignment horizontal="center" wrapText="1"/>
    </xf>
    <xf applyAlignment="1" borderId="127" fillId="0" fontId="30" numFmtId="164" pivotButton="0" quotePrefix="0" xfId="18">
      <alignment horizontal="left"/>
    </xf>
    <xf borderId="0" fillId="0" fontId="30" numFmtId="164" pivotButton="0" quotePrefix="0" xfId="0"/>
    <xf borderId="0" fillId="0" fontId="0" numFmtId="0" pivotButton="0" quotePrefix="0" xfId="0"/>
    <xf applyAlignment="1" borderId="29" fillId="0" fontId="30" numFmtId="164" pivotButton="0" quotePrefix="0" xfId="18">
      <alignment horizontal="left"/>
    </xf>
    <xf borderId="30" fillId="0" fontId="30" numFmtId="164" pivotButton="0" quotePrefix="0" xfId="0"/>
    <xf applyAlignment="1" borderId="54" fillId="0" fontId="32" numFmtId="164" pivotButton="0" quotePrefix="0" xfId="18">
      <alignment horizontal="left"/>
    </xf>
    <xf borderId="54" fillId="0" fontId="33" numFmtId="165" pivotButton="0" quotePrefix="0" xfId="43"/>
    <xf applyAlignment="1" borderId="54" fillId="0" fontId="32" numFmtId="165" pivotButton="0" quotePrefix="0" xfId="43">
      <alignment horizontal="left"/>
    </xf>
    <xf applyAlignment="1" borderId="54" fillId="0" fontId="33" numFmtId="165" pivotButton="0" quotePrefix="0" xfId="43">
      <alignment horizontal="left"/>
    </xf>
    <xf applyAlignment="1" borderId="127" fillId="0" fontId="32" numFmtId="164" pivotButton="0" quotePrefix="0" xfId="18">
      <alignment horizontal="left"/>
    </xf>
    <xf borderId="127" fillId="0" fontId="33" numFmtId="165" pivotButton="0" quotePrefix="0" xfId="43"/>
    <xf applyAlignment="1" borderId="127" fillId="0" fontId="32" numFmtId="165" pivotButton="0" quotePrefix="0" xfId="43">
      <alignment horizontal="left"/>
    </xf>
    <xf applyAlignment="1" borderId="127" fillId="0" fontId="33" numFmtId="165" pivotButton="0" quotePrefix="0" xfId="43">
      <alignment horizontal="left"/>
    </xf>
    <xf applyAlignment="1" borderId="126" fillId="5" fontId="34" numFmtId="165" pivotButton="0" quotePrefix="0" xfId="43">
      <alignment horizontal="left"/>
    </xf>
    <xf borderId="129" fillId="5" fontId="24" numFmtId="165" pivotButton="0" quotePrefix="0" xfId="43"/>
    <xf applyAlignment="1" borderId="126" fillId="9" fontId="34" numFmtId="165" pivotButton="0" quotePrefix="0" xfId="43">
      <alignment horizontal="left"/>
    </xf>
    <xf applyAlignment="1" borderId="127" fillId="0" fontId="8" numFmtId="165" pivotButton="0" quotePrefix="0" xfId="43">
      <alignment horizontal="left"/>
    </xf>
    <xf applyAlignment="1" borderId="127" fillId="0" fontId="55" numFmtId="165" pivotButton="0" quotePrefix="0" xfId="43">
      <alignment horizontal="left"/>
    </xf>
    <xf applyAlignment="1" borderId="127" fillId="0" fontId="8" numFmtId="164" pivotButton="0" quotePrefix="0" xfId="18">
      <alignment horizontal="left"/>
    </xf>
    <xf applyAlignment="1" borderId="127" fillId="3" fontId="55" numFmtId="165" pivotButton="0" quotePrefix="0" xfId="43">
      <alignment horizontal="left"/>
    </xf>
    <xf applyAlignment="1" borderId="126" fillId="5" fontId="24" numFmtId="165" pivotButton="0" quotePrefix="0" xfId="43">
      <alignment horizontal="left"/>
    </xf>
    <xf applyAlignment="1" borderId="126" fillId="9" fontId="24" numFmtId="165" pivotButton="0" quotePrefix="0" xfId="43">
      <alignment horizontal="left"/>
    </xf>
    <xf applyAlignment="1" borderId="132" fillId="9" fontId="24" numFmtId="165" pivotButton="0" quotePrefix="0" xfId="43">
      <alignment horizontal="left"/>
    </xf>
    <xf applyAlignment="1" borderId="0" fillId="0" fontId="28" numFmtId="164" pivotButton="0" quotePrefix="0" xfId="0">
      <alignment horizontal="center"/>
    </xf>
    <xf applyAlignment="1" borderId="0" fillId="0" fontId="28" numFmtId="164" pivotButton="0" quotePrefix="0" xfId="18">
      <alignment horizontal="center" vertical="center"/>
    </xf>
    <xf applyAlignment="1" borderId="0" fillId="0" fontId="27" numFmtId="164" pivotButton="0" quotePrefix="0" xfId="0">
      <alignment horizontal="center"/>
    </xf>
    <xf applyAlignment="1" borderId="0" fillId="0" fontId="38" numFmtId="164" pivotButton="0" quotePrefix="0" xfId="0">
      <alignment horizontal="center"/>
    </xf>
    <xf borderId="0" fillId="10" fontId="27" numFmtId="164" pivotButton="0" quotePrefix="0" xfId="0"/>
    <xf applyAlignment="1" borderId="3" fillId="10" fontId="17" numFmtId="164" pivotButton="0" quotePrefix="0" xfId="18">
      <alignment horizontal="center" vertical="center"/>
    </xf>
    <xf borderId="0" fillId="10" fontId="17" numFmtId="164" pivotButton="0" quotePrefix="0" xfId="0"/>
    <xf borderId="132" fillId="0" fontId="43" numFmtId="164" pivotButton="0" quotePrefix="0" xfId="0"/>
    <xf borderId="133" fillId="0" fontId="130" numFmtId="164" pivotButton="0" quotePrefix="0" xfId="0"/>
    <xf borderId="127" fillId="0" fontId="130" numFmtId="164" pivotButton="0" quotePrefix="0" xfId="0"/>
    <xf applyAlignment="1" borderId="127" fillId="0" fontId="27" numFmtId="164" pivotButton="0" quotePrefix="0" xfId="18">
      <alignment horizontal="center" vertical="center"/>
    </xf>
    <xf applyAlignment="1" borderId="127" fillId="0" fontId="27" numFmtId="164" pivotButton="0" quotePrefix="0" xfId="18">
      <alignment vertical="center"/>
    </xf>
    <xf applyAlignment="1" borderId="127" fillId="0" fontId="132" numFmtId="165" pivotButton="0" quotePrefix="0" xfId="43">
      <alignment vertical="center"/>
    </xf>
    <xf applyAlignment="1" borderId="127" fillId="0" fontId="35" numFmtId="165" pivotButton="0" quotePrefix="0" xfId="43">
      <alignment vertical="center"/>
    </xf>
    <xf borderId="0" fillId="0" fontId="27" numFmtId="168" pivotButton="0" quotePrefix="0" xfId="0"/>
    <xf applyAlignment="1" borderId="127" fillId="0" fontId="8" numFmtId="164" pivotButton="0" quotePrefix="0" xfId="18">
      <alignment vertical="center"/>
    </xf>
    <xf applyAlignment="1" borderId="127" fillId="0" fontId="133" numFmtId="165" pivotButton="0" quotePrefix="0" xfId="43">
      <alignment vertical="center"/>
    </xf>
    <xf applyAlignment="1" borderId="127" fillId="0" fontId="45" numFmtId="165" pivotButton="0" quotePrefix="0" xfId="43">
      <alignment vertical="center"/>
    </xf>
    <xf borderId="0" fillId="0" fontId="27" numFmtId="165" pivotButton="0" quotePrefix="0" xfId="0"/>
    <xf borderId="30" fillId="0" fontId="27" numFmtId="164" pivotButton="0" quotePrefix="0" xfId="0"/>
    <xf applyAlignment="1" borderId="29" fillId="0" fontId="27" numFmtId="164" pivotButton="0" quotePrefix="0" xfId="18">
      <alignment vertical="center"/>
    </xf>
    <xf applyAlignment="1" borderId="29" fillId="0" fontId="132" numFmtId="165" pivotButton="0" quotePrefix="0" xfId="43">
      <alignment vertical="center"/>
    </xf>
    <xf applyAlignment="1" borderId="138" fillId="0" fontId="35" numFmtId="165" pivotButton="0" quotePrefix="0" xfId="43">
      <alignment vertical="center"/>
    </xf>
    <xf applyAlignment="1" borderId="57" fillId="0" fontId="27" numFmtId="164" pivotButton="0" quotePrefix="0" xfId="18">
      <alignment horizontal="center" vertical="center"/>
    </xf>
    <xf applyAlignment="1" borderId="57" fillId="0" fontId="27" numFmtId="164" pivotButton="0" quotePrefix="0" xfId="18">
      <alignment vertical="center"/>
    </xf>
    <xf applyAlignment="1" borderId="57" fillId="0" fontId="132" numFmtId="165" pivotButton="0" quotePrefix="0" xfId="43">
      <alignment vertical="center"/>
    </xf>
    <xf applyAlignment="1" borderId="23" fillId="0" fontId="35" numFmtId="165" pivotButton="0" quotePrefix="0" xfId="43">
      <alignment vertical="center"/>
    </xf>
    <xf applyAlignment="1" borderId="49" fillId="0" fontId="35" numFmtId="165" pivotButton="0" quotePrefix="0" xfId="43">
      <alignment vertical="center"/>
    </xf>
    <xf borderId="34" fillId="0" fontId="27" numFmtId="164" pivotButton="0" quotePrefix="0" xfId="0"/>
    <xf applyAlignment="1" borderId="32" fillId="0" fontId="27" numFmtId="164" pivotButton="0" quotePrefix="0" xfId="18">
      <alignment horizontal="center" vertical="center"/>
    </xf>
    <xf applyAlignment="1" borderId="32" fillId="0" fontId="27" numFmtId="164" pivotButton="0" quotePrefix="0" xfId="18">
      <alignment vertical="center"/>
    </xf>
    <xf applyAlignment="1" borderId="32" fillId="0" fontId="27" numFmtId="165" pivotButton="0" quotePrefix="0" xfId="43">
      <alignment vertical="center"/>
    </xf>
    <xf applyAlignment="1" borderId="139" fillId="0" fontId="35" numFmtId="165" pivotButton="0" quotePrefix="0" xfId="43">
      <alignment vertical="center"/>
    </xf>
    <xf applyAlignment="1" borderId="54" fillId="0" fontId="27" numFmtId="164" pivotButton="0" quotePrefix="0" xfId="18">
      <alignment horizontal="center" vertical="center"/>
    </xf>
    <xf applyAlignment="1" borderId="54" fillId="0" fontId="27" numFmtId="164" pivotButton="0" quotePrefix="0" xfId="18">
      <alignment vertical="center"/>
    </xf>
    <xf applyAlignment="1" borderId="54" fillId="0" fontId="30" numFmtId="165" pivotButton="0" quotePrefix="0" xfId="43">
      <alignment vertical="center"/>
    </xf>
    <xf applyAlignment="1" borderId="5" fillId="59" fontId="55" numFmtId="165" pivotButton="0" quotePrefix="0" xfId="43">
      <alignment vertical="center"/>
    </xf>
    <xf applyAlignment="1" borderId="5" fillId="61" fontId="55" numFmtId="165" pivotButton="0" quotePrefix="0" xfId="43">
      <alignment vertical="center"/>
    </xf>
    <xf applyAlignment="1" borderId="132" fillId="0" fontId="43" numFmtId="172" pivotButton="0" quotePrefix="0" xfId="0">
      <alignment horizontal="center"/>
    </xf>
    <xf borderId="48" fillId="0" fontId="130" numFmtId="165" pivotButton="0" quotePrefix="0" xfId="43"/>
    <xf applyAlignment="1" borderId="29" fillId="0" fontId="30" numFmtId="165" pivotButton="0" quotePrefix="0" xfId="43">
      <alignment vertical="center"/>
    </xf>
    <xf applyAlignment="1" borderId="5" fillId="61" fontId="28" numFmtId="165" pivotButton="0" quotePrefix="0" xfId="43">
      <alignment vertical="center"/>
    </xf>
    <xf applyAlignment="1" borderId="49" fillId="0" fontId="43" numFmtId="172" pivotButton="0" quotePrefix="0" xfId="0">
      <alignment horizontal="center"/>
    </xf>
    <xf applyAlignment="1" borderId="54" fillId="0" fontId="27" numFmtId="164" pivotButton="0" quotePrefix="0" xfId="18">
      <alignment horizontal="center" vertical="center" wrapText="1"/>
    </xf>
    <xf applyAlignment="1" borderId="54" fillId="0" fontId="134" numFmtId="165" pivotButton="0" quotePrefix="0" xfId="43">
      <alignment vertical="center"/>
    </xf>
    <xf applyAlignment="1" borderId="29" fillId="0" fontId="134" numFmtId="165" pivotButton="0" quotePrefix="0" xfId="43">
      <alignment vertical="center"/>
    </xf>
    <xf applyAlignment="1" borderId="138" fillId="59" fontId="55" numFmtId="165" pivotButton="0" quotePrefix="0" xfId="43">
      <alignment vertical="center"/>
    </xf>
    <xf applyAlignment="1" borderId="138" fillId="61" fontId="28" numFmtId="165" pivotButton="0" quotePrefix="0" xfId="43">
      <alignment vertical="center"/>
    </xf>
    <xf borderId="48" fillId="0" fontId="130" numFmtId="164" pivotButton="0" quotePrefix="0" xfId="0"/>
    <xf applyAlignment="1" borderId="33" fillId="0" fontId="27" numFmtId="164" pivotButton="0" quotePrefix="0" xfId="18">
      <alignment horizontal="center" vertical="center" wrapText="1"/>
    </xf>
    <xf applyAlignment="1" borderId="33" fillId="0" fontId="27" numFmtId="164" pivotButton="0" quotePrefix="0" xfId="18">
      <alignment vertical="center"/>
    </xf>
    <xf applyAlignment="1" borderId="33" fillId="0" fontId="134" numFmtId="165" pivotButton="0" quotePrefix="0" xfId="43">
      <alignment vertical="center"/>
    </xf>
    <xf borderId="18" fillId="0" fontId="27" numFmtId="164" pivotButton="0" quotePrefix="0" xfId="0"/>
    <xf applyAlignment="1" borderId="140" fillId="59" fontId="55" numFmtId="165" pivotButton="0" quotePrefix="0" xfId="43">
      <alignment vertical="center"/>
    </xf>
    <xf applyAlignment="1" borderId="140" fillId="61" fontId="28" numFmtId="165" pivotButton="0" quotePrefix="0" xfId="43">
      <alignment vertical="center"/>
    </xf>
    <xf applyAlignment="1" borderId="48" fillId="0" fontId="27" numFmtId="164" pivotButton="0" quotePrefix="0" xfId="18">
      <alignment vertical="center"/>
    </xf>
    <xf applyAlignment="1" borderId="48" fillId="0" fontId="134" numFmtId="165" pivotButton="0" quotePrefix="0" xfId="43">
      <alignment vertical="center"/>
    </xf>
    <xf applyAlignment="1" borderId="49" fillId="59" fontId="55" numFmtId="165" pivotButton="0" quotePrefix="0" xfId="43">
      <alignment vertical="center"/>
    </xf>
    <xf applyAlignment="1" borderId="49" fillId="61" fontId="28" numFmtId="165" pivotButton="0" quotePrefix="0" xfId="43">
      <alignment vertical="center"/>
    </xf>
    <xf borderId="48" fillId="62" fontId="130" numFmtId="165" pivotButton="0" quotePrefix="0" xfId="43"/>
    <xf applyAlignment="1" borderId="133" fillId="0" fontId="27" numFmtId="164" pivotButton="0" quotePrefix="0" xfId="18">
      <alignment vertical="center"/>
    </xf>
    <xf applyAlignment="1" borderId="49" fillId="0" fontId="36" numFmtId="165" pivotButton="0" quotePrefix="0" xfId="43">
      <alignment vertical="center"/>
    </xf>
    <xf borderId="48" fillId="0" fontId="27" numFmtId="164" pivotButton="0" quotePrefix="0" xfId="0"/>
    <xf borderId="54" fillId="0" fontId="28" numFmtId="165" pivotButton="0" quotePrefix="0" xfId="43"/>
    <xf borderId="5" fillId="0" fontId="28" numFmtId="165" pivotButton="0" quotePrefix="0" xfId="43"/>
    <xf borderId="5" fillId="61" fontId="28" numFmtId="165" pivotButton="0" quotePrefix="0" xfId="43"/>
    <xf borderId="49" fillId="0" fontId="43" numFmtId="164" pivotButton="0" quotePrefix="0" xfId="0"/>
    <xf borderId="0" fillId="0" fontId="28" numFmtId="165" pivotButton="0" quotePrefix="0" xfId="43"/>
    <xf borderId="0" fillId="61" fontId="28" numFmtId="165" pivotButton="0" quotePrefix="0" xfId="43"/>
    <xf borderId="49" fillId="0" fontId="27" numFmtId="164" pivotButton="0" quotePrefix="0" xfId="0"/>
    <xf applyAlignment="1" borderId="127" fillId="61" fontId="28" numFmtId="165" pivotButton="0" quotePrefix="0" xfId="43">
      <alignment vertical="center"/>
    </xf>
    <xf borderId="5" fillId="0" fontId="27" numFmtId="164" pivotButton="0" quotePrefix="0" xfId="0"/>
    <xf borderId="54" fillId="0" fontId="130" numFmtId="165" pivotButton="0" quotePrefix="0" xfId="43"/>
    <xf applyAlignment="1" borderId="0" fillId="0" fontId="32" numFmtId="164" pivotButton="0" quotePrefix="0" xfId="18">
      <alignment horizontal="left"/>
    </xf>
    <xf borderId="0" fillId="0" fontId="73" numFmtId="164" pivotButton="0" quotePrefix="0" xfId="0"/>
    <xf applyAlignment="1" borderId="0" fillId="0" fontId="73" numFmtId="164" pivotButton="0" quotePrefix="0" xfId="0">
      <alignment horizontal="left"/>
    </xf>
    <xf applyAlignment="1" borderId="0" fillId="0" fontId="76" numFmtId="164" pivotButton="0" quotePrefix="0" xfId="0">
      <alignment shrinkToFit="1"/>
    </xf>
    <xf borderId="0" fillId="0" fontId="73" numFmtId="177" pivotButton="0" quotePrefix="0" xfId="0"/>
    <xf borderId="0" fillId="0" fontId="75" numFmtId="177" pivotButton="0" quotePrefix="0" xfId="0"/>
    <xf borderId="0" fillId="0" fontId="98" numFmtId="177" pivotButton="0" quotePrefix="0" xfId="0"/>
    <xf borderId="0" fillId="0" fontId="73" numFmtId="174" pivotButton="0" quotePrefix="0" xfId="0"/>
    <xf applyAlignment="1" borderId="0" fillId="0" fontId="74" numFmtId="177" pivotButton="0" quotePrefix="0" xfId="0">
      <alignment horizontal="center"/>
    </xf>
    <xf applyAlignment="1" borderId="0" fillId="0" fontId="73" numFmtId="174" pivotButton="0" quotePrefix="0" xfId="0">
      <alignment horizontal="left"/>
    </xf>
    <xf applyAlignment="1" borderId="0" fillId="0" fontId="76" numFmtId="174" pivotButton="0" quotePrefix="0" xfId="0">
      <alignment shrinkToFit="1"/>
    </xf>
    <xf applyAlignment="1" borderId="3" fillId="35" fontId="138" numFmtId="174" pivotButton="0" quotePrefix="0" xfId="0">
      <alignment horizontal="left"/>
    </xf>
    <xf borderId="0" fillId="6" fontId="73" numFmtId="174" pivotButton="0" quotePrefix="0" xfId="0"/>
    <xf borderId="0" fillId="33" fontId="73" numFmtId="164" pivotButton="0" quotePrefix="0" xfId="0"/>
    <xf applyAlignment="1" borderId="12" fillId="47" fontId="77" numFmtId="164" pivotButton="0" quotePrefix="0" xfId="0">
      <alignment horizontal="center"/>
    </xf>
    <xf applyAlignment="1" borderId="13" fillId="47" fontId="77" numFmtId="164" pivotButton="0" quotePrefix="0" xfId="0">
      <alignment horizontal="center"/>
    </xf>
    <xf applyAlignment="1" borderId="13" fillId="47" fontId="77" numFmtId="174" pivotButton="0" quotePrefix="0" xfId="0">
      <alignment horizontal="center"/>
    </xf>
    <xf applyAlignment="1" borderId="13" fillId="47" fontId="77" numFmtId="174" pivotButton="0" quotePrefix="0" xfId="0">
      <alignment horizontal="left" wrapText="1"/>
    </xf>
    <xf applyAlignment="1" borderId="13" fillId="47" fontId="77" numFmtId="174" pivotButton="0" quotePrefix="0" xfId="51">
      <alignment horizontal="center"/>
    </xf>
    <xf applyAlignment="1" borderId="13" fillId="47" fontId="78" numFmtId="164" pivotButton="0" quotePrefix="0" xfId="0">
      <alignment horizontal="center" shrinkToFit="1"/>
    </xf>
    <xf applyAlignment="1" borderId="13" fillId="47" fontId="77" numFmtId="177" pivotButton="0" quotePrefix="0" xfId="0">
      <alignment horizontal="center"/>
    </xf>
    <xf applyAlignment="1" borderId="14" fillId="47" fontId="80" numFmtId="174" pivotButton="0" quotePrefix="0" xfId="0">
      <alignment horizontal="center"/>
    </xf>
    <xf applyAlignment="1" borderId="164" fillId="89" fontId="77" numFmtId="177" pivotButton="0" quotePrefix="0" xfId="0">
      <alignment horizontal="center"/>
    </xf>
    <xf applyAlignment="1" borderId="164" fillId="27" fontId="77" numFmtId="177" pivotButton="0" quotePrefix="0" xfId="0">
      <alignment horizontal="center"/>
    </xf>
    <xf applyAlignment="1" borderId="164" fillId="33" fontId="77" numFmtId="177" pivotButton="0" quotePrefix="0" xfId="0">
      <alignment horizontal="center"/>
    </xf>
    <xf applyAlignment="1" applyProtection="1" borderId="128" fillId="0" fontId="73" numFmtId="174" pivotButton="0" quotePrefix="0" xfId="0">
      <alignment wrapText="1"/>
      <protection hidden="0" locked="0"/>
    </xf>
    <xf applyAlignment="1" applyProtection="1" borderId="164" fillId="0" fontId="75" numFmtId="174" pivotButton="0" quotePrefix="0" xfId="0">
      <alignment horizontal="center"/>
      <protection hidden="0" locked="0"/>
    </xf>
    <xf applyAlignment="1" applyProtection="1" borderId="164" fillId="0" fontId="75" numFmtId="174" pivotButton="0" quotePrefix="0" xfId="0">
      <alignment horizontal="center" vertical="center"/>
      <protection hidden="0" locked="0"/>
    </xf>
    <xf applyAlignment="1" applyProtection="1" borderId="127" fillId="0" fontId="75" numFmtId="174" pivotButton="0" quotePrefix="0" xfId="0">
      <alignment horizontal="left"/>
      <protection hidden="0" locked="0"/>
    </xf>
    <xf applyAlignment="1" applyProtection="1" borderId="127" fillId="0" fontId="75" numFmtId="174" pivotButton="0" quotePrefix="0" xfId="0">
      <alignment horizontal="center" vertical="center"/>
      <protection hidden="0" locked="0"/>
    </xf>
    <xf borderId="127" fillId="0" fontId="83" numFmtId="178" pivotButton="0" quotePrefix="0" xfId="0"/>
    <xf borderId="127" fillId="0" fontId="82" numFmtId="178" pivotButton="0" quotePrefix="0" xfId="0"/>
    <xf applyAlignment="1" applyProtection="1" borderId="133" fillId="0" fontId="73" numFmtId="174" pivotButton="0" quotePrefix="0" xfId="0">
      <alignment vertical="center"/>
      <protection hidden="0" locked="0"/>
    </xf>
    <xf applyAlignment="1" applyProtection="1" borderId="127" fillId="0" fontId="82" numFmtId="174" pivotButton="0" quotePrefix="0" xfId="0">
      <alignment horizontal="center" vertical="center"/>
      <protection hidden="0" locked="0"/>
    </xf>
    <xf applyAlignment="1" borderId="0" fillId="0" fontId="82" numFmtId="174" pivotButton="0" quotePrefix="0" xfId="0">
      <alignment horizontal="center" vertical="center"/>
    </xf>
    <xf applyAlignment="1" applyProtection="1" borderId="0" fillId="0" fontId="82" numFmtId="174" pivotButton="0" quotePrefix="0" xfId="0">
      <alignment horizontal="center" vertical="center"/>
      <protection hidden="0" locked="0"/>
    </xf>
    <xf borderId="0" fillId="0" fontId="73" numFmtId="165" pivotButton="0" quotePrefix="0" xfId="43"/>
    <xf borderId="0" fillId="0" fontId="73" numFmtId="178" pivotButton="0" quotePrefix="0" xfId="0"/>
    <xf applyAlignment="1" borderId="0" fillId="0" fontId="73" numFmtId="171" pivotButton="0" quotePrefix="0" xfId="0">
      <alignment vertical="center"/>
    </xf>
    <xf applyAlignment="1" applyProtection="1" borderId="164" fillId="0" fontId="73" numFmtId="174" pivotButton="0" quotePrefix="0" xfId="0">
      <alignment horizontal="center"/>
      <protection hidden="0" locked="0"/>
    </xf>
    <xf applyAlignment="1" applyProtection="1" borderId="54" fillId="0" fontId="75" numFmtId="174" pivotButton="0" quotePrefix="0" xfId="0">
      <alignment horizontal="left"/>
      <protection hidden="0" locked="0"/>
    </xf>
    <xf applyAlignment="1" applyProtection="1" borderId="54" fillId="0" fontId="75" numFmtId="174" pivotButton="0" quotePrefix="0" xfId="0">
      <alignment horizontal="center" vertical="center"/>
      <protection hidden="0" locked="0"/>
    </xf>
    <xf borderId="54" fillId="0" fontId="83" numFmtId="178" pivotButton="0" quotePrefix="0" xfId="0"/>
    <xf borderId="54" fillId="0" fontId="82" numFmtId="178" pivotButton="0" quotePrefix="0" xfId="0"/>
    <xf applyAlignment="1" applyProtection="1" borderId="164" fillId="0" fontId="73" numFmtId="174" pivotButton="0" quotePrefix="0" xfId="0">
      <alignment vertical="center"/>
      <protection hidden="0" locked="0"/>
    </xf>
    <xf applyAlignment="1" applyProtection="1" borderId="164" fillId="0" fontId="73" numFmtId="174" pivotButton="0" quotePrefix="0" xfId="0">
      <alignment horizontal="left"/>
      <protection hidden="0" locked="0"/>
    </xf>
    <xf applyAlignment="1" applyProtection="1" borderId="164" fillId="0" fontId="75" numFmtId="174" pivotButton="0" quotePrefix="0" xfId="0">
      <alignment horizontal="left"/>
      <protection hidden="0" locked="0"/>
    </xf>
    <xf applyAlignment="1" applyProtection="1" borderId="173" fillId="0" fontId="75" numFmtId="174" pivotButton="0" quotePrefix="0" xfId="0">
      <alignment horizontal="center" vertical="center"/>
      <protection hidden="0" locked="0"/>
    </xf>
    <xf borderId="164" fillId="0" fontId="83" numFmtId="178" pivotButton="0" quotePrefix="0" xfId="0"/>
    <xf borderId="164" fillId="0" fontId="82" numFmtId="178" pivotButton="0" quotePrefix="0" xfId="0"/>
    <xf applyAlignment="1" applyProtection="1" borderId="173" fillId="0" fontId="73" numFmtId="174" pivotButton="0" quotePrefix="0" xfId="0">
      <alignment vertical="center"/>
      <protection hidden="0" locked="0"/>
    </xf>
    <xf applyAlignment="1" applyProtection="1" borderId="134" fillId="0" fontId="82" numFmtId="174" pivotButton="0" quotePrefix="0" xfId="0">
      <alignment horizontal="center" vertical="center"/>
      <protection hidden="0" locked="0"/>
    </xf>
    <xf borderId="173" fillId="0" fontId="82" numFmtId="178" pivotButton="0" quotePrefix="0" xfId="0"/>
    <xf applyAlignment="1" applyProtection="1" borderId="127" fillId="0" fontId="129" numFmtId="174" pivotButton="0" quotePrefix="0" xfId="0">
      <alignment horizontal="center" vertical="center"/>
      <protection hidden="0" locked="0"/>
    </xf>
    <xf borderId="13" fillId="0" fontId="83" numFmtId="178" pivotButton="0" quotePrefix="0" xfId="0"/>
    <xf applyAlignment="1" applyProtection="1" borderId="164" fillId="0" fontId="129" numFmtId="174" pivotButton="0" quotePrefix="0" xfId="0">
      <alignment horizontal="center" vertical="center"/>
      <protection hidden="0" locked="0"/>
    </xf>
    <xf applyAlignment="1" applyProtection="1" borderId="54" fillId="0" fontId="75" numFmtId="174" pivotButton="0" quotePrefix="0" xfId="0">
      <alignment horizontal="center" vertical="center" wrapText="1"/>
      <protection hidden="0" locked="0"/>
    </xf>
    <xf borderId="54" fillId="0" fontId="114" numFmtId="185" pivotButton="0" quotePrefix="0" xfId="0"/>
    <xf applyAlignment="1" applyProtection="1" borderId="48" fillId="0" fontId="73" numFmtId="174" pivotButton="0" quotePrefix="0" xfId="0">
      <alignment vertical="center"/>
      <protection hidden="0" locked="0"/>
    </xf>
    <xf applyAlignment="1" applyProtection="1" borderId="127" fillId="0" fontId="75" numFmtId="174" pivotButton="0" quotePrefix="0" xfId="0">
      <alignment horizontal="center" vertical="center" wrapText="1"/>
      <protection hidden="0" locked="0"/>
    </xf>
    <xf borderId="127" fillId="0" fontId="114" numFmtId="185" pivotButton="0" quotePrefix="0" xfId="0"/>
    <xf borderId="127" fillId="0" fontId="114" numFmtId="178" pivotButton="0" quotePrefix="0" xfId="0"/>
    <xf borderId="127" fillId="0" fontId="114" numFmtId="180" pivotButton="0" quotePrefix="0" xfId="0"/>
    <xf applyAlignment="1" applyProtection="1" borderId="133" fillId="0" fontId="75" numFmtId="174" pivotButton="0" quotePrefix="0" xfId="0">
      <alignment horizontal="center" vertical="center"/>
      <protection hidden="0" locked="0"/>
    </xf>
    <xf borderId="111" fillId="0" fontId="114" numFmtId="178" pivotButton="0" quotePrefix="0" xfId="0"/>
    <xf borderId="111" fillId="0" fontId="83" numFmtId="178" pivotButton="0" quotePrefix="0" xfId="0"/>
    <xf borderId="111" fillId="0" fontId="82" numFmtId="178" pivotButton="0" quotePrefix="0" xfId="0"/>
    <xf applyAlignment="1" applyProtection="1" borderId="127" fillId="0" fontId="73" numFmtId="174" pivotButton="0" quotePrefix="0" xfId="0">
      <alignment horizontal="left"/>
      <protection hidden="0" locked="0"/>
    </xf>
    <xf applyAlignment="1" applyProtection="1" borderId="127" fillId="0" fontId="73" numFmtId="174" pivotButton="0" quotePrefix="0" xfId="0">
      <alignment horizontal="center"/>
      <protection hidden="0" locked="0"/>
    </xf>
    <xf applyAlignment="1" applyProtection="1" borderId="164" fillId="0" fontId="82" numFmtId="174" pivotButton="0" quotePrefix="0" xfId="0">
      <alignment horizontal="center" vertical="center"/>
      <protection hidden="0" locked="0"/>
    </xf>
    <xf borderId="164" fillId="0" fontId="84" numFmtId="178" pivotButton="0" quotePrefix="0" xfId="0"/>
    <xf borderId="0" fillId="0" fontId="82" numFmtId="174" pivotButton="0" quotePrefix="0" xfId="0"/>
    <xf applyAlignment="1" borderId="7" fillId="0" fontId="73" numFmtId="174" pivotButton="0" quotePrefix="0" xfId="0">
      <alignment wrapText="1"/>
    </xf>
    <xf applyAlignment="1" borderId="48" fillId="0" fontId="86" numFmtId="174" pivotButton="0" quotePrefix="0" xfId="0">
      <alignment horizontal="center"/>
    </xf>
    <xf applyAlignment="1" borderId="54" fillId="35" fontId="88" numFmtId="174" pivotButton="0" quotePrefix="0" xfId="0">
      <alignment horizontal="center"/>
    </xf>
    <xf applyAlignment="1" borderId="54" fillId="35" fontId="88" numFmtId="174" pivotButton="0" quotePrefix="0" xfId="0">
      <alignment horizontal="left"/>
    </xf>
    <xf applyAlignment="1" borderId="54" fillId="35" fontId="77" numFmtId="174" pivotButton="0" quotePrefix="0" xfId="0">
      <alignment horizontal="center" shrinkToFit="1"/>
    </xf>
    <xf applyAlignment="1" borderId="54" fillId="35" fontId="77" numFmtId="178" pivotButton="0" quotePrefix="0" xfId="0">
      <alignment horizontal="center"/>
    </xf>
    <xf applyAlignment="1" borderId="54" fillId="35" fontId="88" numFmtId="178" pivotButton="0" quotePrefix="0" xfId="0">
      <alignment horizontal="center"/>
    </xf>
    <xf borderId="54" fillId="35" fontId="77" numFmtId="174" pivotButton="0" quotePrefix="0" xfId="0"/>
    <xf borderId="0" fillId="0" fontId="77" numFmtId="174" pivotButton="0" quotePrefix="0" xfId="0"/>
    <xf borderId="0" fillId="0" fontId="82" numFmtId="183" pivotButton="0" quotePrefix="0" xfId="0"/>
    <xf borderId="0" fillId="0" fontId="82" numFmtId="165" pivotButton="0" quotePrefix="0" xfId="43"/>
    <xf applyAlignment="1" borderId="49" fillId="35" fontId="87" numFmtId="174" pivotButton="0" quotePrefix="0" xfId="0">
      <alignment horizontal="center"/>
    </xf>
    <xf applyAlignment="1" borderId="109" fillId="35" fontId="88" numFmtId="174" pivotButton="0" quotePrefix="0" xfId="0">
      <alignment horizontal="center"/>
    </xf>
    <xf applyAlignment="1" borderId="109" fillId="35" fontId="88" numFmtId="174" pivotButton="0" quotePrefix="0" xfId="0">
      <alignment horizontal="left"/>
    </xf>
    <xf applyAlignment="1" borderId="109" fillId="35" fontId="77" numFmtId="174" pivotButton="0" quotePrefix="0" xfId="0">
      <alignment horizontal="center" shrinkToFit="1"/>
    </xf>
    <xf applyAlignment="1" borderId="118" fillId="35" fontId="77" numFmtId="178" pivotButton="0" quotePrefix="0" xfId="0">
      <alignment horizontal="center"/>
    </xf>
    <xf applyAlignment="1" borderId="127" fillId="35" fontId="77" numFmtId="178" pivotButton="0" quotePrefix="0" xfId="0">
      <alignment horizontal="center"/>
    </xf>
    <xf borderId="127" fillId="35" fontId="77" numFmtId="174" pivotButton="0" quotePrefix="0" xfId="0"/>
    <xf borderId="0" fillId="0" fontId="82" numFmtId="169" pivotButton="0" quotePrefix="0" xfId="43"/>
    <xf borderId="0" fillId="0" fontId="89" numFmtId="174" pivotButton="0" quotePrefix="0" xfId="0"/>
    <xf borderId="0" fillId="24" fontId="90" numFmtId="174" pivotButton="0" quotePrefix="0" xfId="0"/>
    <xf borderId="0" fillId="24" fontId="89" numFmtId="174" pivotButton="0" quotePrefix="0" xfId="0"/>
    <xf applyAlignment="1" borderId="0" fillId="24" fontId="89" numFmtId="174" pivotButton="0" quotePrefix="0" xfId="0">
      <alignment horizontal="left"/>
    </xf>
    <xf applyAlignment="1" borderId="0" fillId="24" fontId="91" numFmtId="174" pivotButton="0" quotePrefix="0" xfId="0">
      <alignment shrinkToFit="1"/>
    </xf>
    <xf borderId="111" fillId="24" fontId="90" numFmtId="165" pivotButton="0" quotePrefix="0" xfId="32"/>
    <xf borderId="0" fillId="0" fontId="90" numFmtId="174" pivotButton="0" quotePrefix="0" xfId="0"/>
    <xf borderId="0" fillId="0" fontId="92" numFmtId="174" pivotButton="0" quotePrefix="0" xfId="0"/>
    <xf borderId="0" fillId="11" fontId="93" numFmtId="174" pivotButton="0" quotePrefix="0" xfId="0"/>
    <xf borderId="0" fillId="11" fontId="92" numFmtId="174" pivotButton="0" quotePrefix="0" xfId="0"/>
    <xf applyAlignment="1" borderId="0" fillId="11" fontId="92" numFmtId="174" pivotButton="0" quotePrefix="0" xfId="0">
      <alignment horizontal="left"/>
    </xf>
    <xf applyAlignment="1" borderId="0" fillId="11" fontId="94" numFmtId="174" pivotButton="0" quotePrefix="0" xfId="0">
      <alignment shrinkToFit="1"/>
    </xf>
    <xf borderId="48" fillId="11" fontId="93" numFmtId="165" pivotButton="0" quotePrefix="0" xfId="32"/>
    <xf borderId="0" fillId="0" fontId="93" numFmtId="174" pivotButton="0" quotePrefix="0" xfId="0"/>
    <xf borderId="0" fillId="0" fontId="95" numFmtId="174" pivotButton="0" quotePrefix="0" xfId="0"/>
    <xf borderId="0" fillId="20" fontId="96" numFmtId="174" pivotButton="0" quotePrefix="0" xfId="0"/>
    <xf borderId="0" fillId="20" fontId="95" numFmtId="174" pivotButton="0" quotePrefix="0" xfId="0"/>
    <xf applyAlignment="1" borderId="0" fillId="20" fontId="95" numFmtId="174" pivotButton="0" quotePrefix="0" xfId="0">
      <alignment horizontal="left"/>
    </xf>
    <xf applyAlignment="1" borderId="0" fillId="20" fontId="97" numFmtId="174" pivotButton="0" quotePrefix="0" xfId="0">
      <alignment shrinkToFit="1"/>
    </xf>
    <xf borderId="48" fillId="20" fontId="96" numFmtId="165" pivotButton="0" quotePrefix="0" xfId="32"/>
    <xf borderId="0" fillId="0" fontId="96" numFmtId="174" pivotButton="0" quotePrefix="0" xfId="0"/>
    <xf borderId="48" fillId="0" fontId="82" numFmtId="165" pivotButton="0" quotePrefix="0" xfId="32"/>
    <xf borderId="3" fillId="0" fontId="82" numFmtId="174" pivotButton="0" quotePrefix="0" xfId="0"/>
    <xf borderId="3" fillId="22" fontId="73" numFmtId="174" pivotButton="0" quotePrefix="0" xfId="0"/>
    <xf applyAlignment="1" borderId="3" fillId="22" fontId="73" numFmtId="174" pivotButton="0" quotePrefix="0" xfId="0">
      <alignment horizontal="left"/>
    </xf>
    <xf applyAlignment="1" borderId="3" fillId="22" fontId="76" numFmtId="174" pivotButton="0" quotePrefix="0" xfId="0">
      <alignment shrinkToFit="1"/>
    </xf>
    <xf borderId="54" fillId="22" fontId="82" numFmtId="165" pivotButton="0" quotePrefix="0" xfId="32"/>
    <xf applyAlignment="1" borderId="3" fillId="22" fontId="81" numFmtId="174" pivotButton="0" quotePrefix="0" xfId="0">
      <alignment horizontal="center"/>
    </xf>
    <xf borderId="3" fillId="22" fontId="82" numFmtId="174" pivotButton="0" quotePrefix="0" xfId="0"/>
    <xf applyAlignment="1" borderId="0" fillId="0" fontId="81" numFmtId="174" pivotButton="0" quotePrefix="0" xfId="0">
      <alignment horizontal="center"/>
    </xf>
    <xf borderId="0" fillId="36" fontId="77" numFmtId="174" pivotButton="0" quotePrefix="0" xfId="0"/>
    <xf borderId="0" fillId="0" fontId="82" numFmtId="164" pivotButton="0" quotePrefix="0" xfId="0"/>
    <xf borderId="0" fillId="0" fontId="83" numFmtId="177" pivotButton="0" quotePrefix="0" xfId="0"/>
    <xf applyAlignment="1" borderId="0" fillId="0" fontId="77" numFmtId="164" pivotButton="0" quotePrefix="0" xfId="0">
      <alignment shrinkToFit="1"/>
    </xf>
    <xf borderId="0" fillId="37" fontId="83" numFmtId="177" pivotButton="0" quotePrefix="0" xfId="0"/>
    <xf borderId="164" fillId="36" fontId="77" numFmtId="174" pivotButton="0" quotePrefix="0" xfId="0"/>
    <xf borderId="164" fillId="0" fontId="82" numFmtId="174" pivotButton="0" quotePrefix="0" xfId="0"/>
    <xf borderId="164" fillId="2" fontId="82" numFmtId="174" pivotButton="0" quotePrefix="0" xfId="0"/>
    <xf borderId="164" fillId="0" fontId="99" numFmtId="172" pivotButton="0" quotePrefix="0" xfId="61"/>
    <xf borderId="127" fillId="0" fontId="82" numFmtId="164" pivotButton="0" quotePrefix="0" xfId="0"/>
    <xf borderId="127" fillId="0" fontId="82" numFmtId="177" pivotButton="0" quotePrefix="0" xfId="0"/>
    <xf applyAlignment="1" borderId="127" fillId="0" fontId="77" numFmtId="164" pivotButton="0" quotePrefix="0" xfId="0">
      <alignment shrinkToFit="1"/>
    </xf>
    <xf borderId="127" fillId="37" fontId="135" numFmtId="177" pivotButton="0" quotePrefix="0" xfId="0"/>
    <xf borderId="127" fillId="37" fontId="82" numFmtId="177" pivotButton="0" quotePrefix="0" xfId="0"/>
    <xf borderId="0" fillId="0" fontId="82" numFmtId="177" pivotButton="0" quotePrefix="0" xfId="0"/>
    <xf borderId="164" fillId="0" fontId="73" numFmtId="174" pivotButton="0" quotePrefix="0" xfId="0"/>
    <xf applyAlignment="1" borderId="0" fillId="0" fontId="82" numFmtId="164" pivotButton="0" quotePrefix="0" xfId="0">
      <alignment horizontal="left"/>
    </xf>
    <xf applyAlignment="1" borderId="127" fillId="0" fontId="82" numFmtId="164" pivotButton="0" quotePrefix="0" xfId="0">
      <alignment horizontal="left"/>
    </xf>
    <xf borderId="127" fillId="0" fontId="99" numFmtId="172" pivotButton="0" quotePrefix="0" xfId="61"/>
    <xf borderId="0" fillId="0" fontId="100" numFmtId="172" pivotButton="0" quotePrefix="0" xfId="61"/>
    <xf applyAlignment="1" borderId="0" fillId="0" fontId="82" numFmtId="177" pivotButton="0" quotePrefix="0" xfId="0">
      <alignment horizontal="right"/>
    </xf>
    <xf applyAlignment="1" borderId="0" fillId="0" fontId="82" numFmtId="164" pivotButton="0" quotePrefix="0" xfId="0">
      <alignment horizontal="right"/>
    </xf>
    <xf applyAlignment="1" borderId="0" fillId="3" fontId="82" numFmtId="165" pivotButton="0" quotePrefix="0" xfId="43">
      <alignment horizontal="right"/>
    </xf>
    <xf applyAlignment="1" borderId="62" fillId="0" fontId="82" numFmtId="174" pivotButton="0" quotePrefix="0" xfId="0">
      <alignment horizontal="center"/>
    </xf>
    <xf applyAlignment="1" borderId="63" fillId="0" fontId="78" numFmtId="164" pivotButton="0" quotePrefix="0" xfId="0">
      <alignment shrinkToFit="1"/>
    </xf>
    <xf borderId="63" fillId="0" fontId="82" numFmtId="174" pivotButton="0" quotePrefix="0" xfId="0"/>
    <xf borderId="63" fillId="0" fontId="101" numFmtId="174" pivotButton="0" quotePrefix="0" xfId="0"/>
    <xf applyAlignment="1" borderId="0" fillId="0" fontId="73" numFmtId="164" pivotButton="0" quotePrefix="0" xfId="0">
      <alignment horizontal="right"/>
    </xf>
    <xf borderId="64" fillId="0" fontId="73" numFmtId="174" pivotButton="0" quotePrefix="0" xfId="0"/>
    <xf borderId="0" fillId="0" fontId="98" numFmtId="174" pivotButton="0" quotePrefix="0" xfId="0"/>
    <xf borderId="65" fillId="0" fontId="73" numFmtId="174" pivotButton="0" quotePrefix="0" xfId="0"/>
    <xf borderId="66" fillId="0" fontId="73" numFmtId="174" pivotButton="0" quotePrefix="0" xfId="0"/>
    <xf applyAlignment="1" borderId="67" fillId="0" fontId="76" numFmtId="164" pivotButton="0" quotePrefix="0" xfId="0">
      <alignment shrinkToFit="1"/>
    </xf>
    <xf borderId="67" fillId="0" fontId="73" numFmtId="174" pivotButton="0" quotePrefix="0" xfId="0"/>
    <xf borderId="67" fillId="0" fontId="98" numFmtId="174" pivotButton="0" quotePrefix="0" xfId="0"/>
    <xf borderId="68" fillId="0" fontId="73" numFmtId="174" pivotButton="0" quotePrefix="0" xfId="0"/>
    <xf borderId="132" fillId="0" fontId="73" numFmtId="174" pivotButton="0" quotePrefix="0" xfId="0"/>
    <xf borderId="137" fillId="0" fontId="73" numFmtId="174" pivotButton="0" quotePrefix="0" xfId="0"/>
    <xf borderId="137" fillId="0" fontId="73" numFmtId="165" pivotButton="0" quotePrefix="0" xfId="32"/>
    <xf borderId="144" fillId="0" fontId="73" numFmtId="174" pivotButton="0" quotePrefix="0" xfId="0"/>
    <xf applyAlignment="1" borderId="137" fillId="0" fontId="76" numFmtId="174" pivotButton="0" quotePrefix="0" xfId="0">
      <alignment shrinkToFit="1"/>
    </xf>
    <xf borderId="49" fillId="0" fontId="73" numFmtId="165" pivotButton="0" quotePrefix="0" xfId="32"/>
    <xf borderId="0" fillId="0" fontId="73" numFmtId="165" pivotButton="0" quotePrefix="0" xfId="32"/>
    <xf borderId="0" fillId="55" fontId="73" numFmtId="165" pivotButton="0" quotePrefix="0" xfId="32"/>
    <xf borderId="7" fillId="0" fontId="73" numFmtId="165" pivotButton="0" quotePrefix="0" xfId="32"/>
    <xf borderId="49" fillId="0" fontId="73" numFmtId="174" pivotButton="0" quotePrefix="0" xfId="0"/>
    <xf borderId="5" fillId="0" fontId="73" numFmtId="174" pivotButton="0" quotePrefix="0" xfId="0"/>
    <xf applyAlignment="1" borderId="3" fillId="0" fontId="76" numFmtId="174" pivotButton="0" quotePrefix="0" xfId="0">
      <alignment shrinkToFit="1"/>
    </xf>
    <xf borderId="5" fillId="0" fontId="73" numFmtId="165" pivotButton="0" quotePrefix="0" xfId="32"/>
    <xf borderId="3" fillId="0" fontId="73" numFmtId="165" pivotButton="0" quotePrefix="0" xfId="32"/>
    <xf borderId="3" fillId="55" fontId="73" numFmtId="165" pivotButton="0" quotePrefix="0" xfId="32"/>
    <xf borderId="0" fillId="0" fontId="135" numFmtId="177" pivotButton="0" quotePrefix="0" xfId="0"/>
    <xf applyAlignment="1" borderId="0" fillId="34" fontId="77" numFmtId="164" pivotButton="0" quotePrefix="0" xfId="0">
      <alignment horizontal="left"/>
    </xf>
    <xf borderId="0" fillId="55" fontId="98" numFmtId="174" pivotButton="0" quotePrefix="0" xfId="0"/>
    <xf applyAlignment="1" borderId="0" fillId="56" fontId="82" numFmtId="165" pivotButton="0" quotePrefix="0" xfId="43">
      <alignment horizontal="left"/>
    </xf>
    <xf borderId="69" fillId="0" fontId="131" numFmtId="174" pivotButton="0" quotePrefix="0" xfId="0"/>
    <xf borderId="69" fillId="55" fontId="98" numFmtId="174" pivotButton="0" quotePrefix="0" xfId="0"/>
    <xf borderId="0" fillId="0" fontId="73" numFmtId="186" pivotButton="0" quotePrefix="0" xfId="0"/>
    <xf borderId="0" fillId="0" fontId="73" numFmtId="187" pivotButton="0" quotePrefix="0" xfId="0"/>
    <xf applyAlignment="1" borderId="0" fillId="56" fontId="135" numFmtId="165" pivotButton="0" quotePrefix="0" xfId="43">
      <alignment horizontal="left"/>
    </xf>
    <xf borderId="3" fillId="0" fontId="73" numFmtId="174" pivotButton="0" quotePrefix="0" xfId="0"/>
    <xf borderId="3" fillId="0" fontId="131" numFmtId="174" pivotButton="0" quotePrefix="0" xfId="0"/>
    <xf borderId="3" fillId="55" fontId="98" numFmtId="174" pivotButton="0" quotePrefix="0" xfId="0"/>
    <xf borderId="0" fillId="0" fontId="131" numFmtId="174" pivotButton="0" quotePrefix="0" xfId="0"/>
    <xf applyAlignment="1" borderId="0" fillId="0" fontId="73" numFmtId="174" pivotButton="0" quotePrefix="0" xfId="0">
      <alignment horizontal="right"/>
    </xf>
    <xf applyAlignment="1" borderId="0" fillId="0" fontId="98" numFmtId="174" pivotButton="0" quotePrefix="0" xfId="0">
      <alignment horizontal="right"/>
    </xf>
    <xf borderId="0" fillId="0" fontId="135" numFmtId="174" pivotButton="0" quotePrefix="0" xfId="0"/>
    <xf applyAlignment="1" borderId="0" fillId="0" fontId="105" numFmtId="164" pivotButton="0" quotePrefix="0" xfId="29">
      <alignment vertical="center"/>
    </xf>
    <xf borderId="0" fillId="0" fontId="105" numFmtId="172" pivotButton="0" quotePrefix="0" xfId="29"/>
    <xf applyAlignment="1" borderId="0" fillId="0" fontId="104" numFmtId="172" pivotButton="0" quotePrefix="0" xfId="29">
      <alignment horizontal="center"/>
    </xf>
    <xf borderId="0" fillId="0" fontId="121" numFmtId="172" pivotButton="0" quotePrefix="0" xfId="29"/>
    <xf applyAlignment="1" borderId="0" fillId="0" fontId="121" numFmtId="165" pivotButton="0" quotePrefix="0" xfId="14">
      <alignment vertical="center"/>
    </xf>
    <xf applyAlignment="1" borderId="0" fillId="0" fontId="121" numFmtId="182" pivotButton="0" quotePrefix="0" xfId="14">
      <alignment vertical="center"/>
    </xf>
    <xf applyAlignment="1" borderId="12" fillId="46" fontId="104" numFmtId="168" pivotButton="0" quotePrefix="0" xfId="29">
      <alignment horizontal="center" vertical="center"/>
    </xf>
    <xf applyAlignment="1" borderId="13" fillId="0" fontId="104" numFmtId="172" pivotButton="0" quotePrefix="0" xfId="29">
      <alignment horizontal="center" vertical="center"/>
    </xf>
    <xf applyAlignment="1" borderId="13" fillId="0" fontId="104" numFmtId="164" pivotButton="0" quotePrefix="0" xfId="29">
      <alignment horizontal="center" vertical="center"/>
    </xf>
    <xf applyAlignment="1" borderId="14" fillId="0" fontId="104" numFmtId="164" pivotButton="0" quotePrefix="0" xfId="29">
      <alignment horizontal="center" vertical="center"/>
    </xf>
    <xf applyAlignment="1" borderId="0" fillId="0" fontId="105" numFmtId="171" pivotButton="0" quotePrefix="0" xfId="29">
      <alignment vertical="center" wrapText="1"/>
    </xf>
    <xf applyAlignment="1" borderId="120" fillId="46" fontId="105" numFmtId="171" pivotButton="0" quotePrefix="0" xfId="29">
      <alignment horizontal="center" vertical="center" wrapText="1"/>
    </xf>
    <xf applyAlignment="1" borderId="118" fillId="0" fontId="105" numFmtId="171" pivotButton="0" quotePrefix="0" xfId="29">
      <alignment horizontal="center" vertical="center" wrapText="1"/>
    </xf>
    <xf applyAlignment="1" borderId="118" fillId="42" fontId="104" numFmtId="172" pivotButton="0" quotePrefix="0" xfId="29">
      <alignment horizontal="center" vertical="center"/>
    </xf>
    <xf applyAlignment="1" borderId="118" fillId="30" fontId="104" numFmtId="164" pivotButton="0" quotePrefix="0" xfId="29">
      <alignment horizontal="center" vertical="center" wrapText="1"/>
    </xf>
    <xf applyAlignment="1" borderId="118" fillId="0" fontId="104" numFmtId="164" pivotButton="0" quotePrefix="0" xfId="29">
      <alignment horizontal="center" vertical="center"/>
    </xf>
    <xf applyAlignment="1" borderId="121" fillId="0" fontId="105" numFmtId="171" pivotButton="0" quotePrefix="0" xfId="29">
      <alignment horizontal="center" vertical="center" wrapText="1"/>
    </xf>
    <xf borderId="120" fillId="0" fontId="105" numFmtId="172" pivotButton="0" quotePrefix="0" xfId="61"/>
    <xf borderId="118" fillId="0" fontId="105" numFmtId="172" pivotButton="0" quotePrefix="0" xfId="29"/>
    <xf borderId="118" fillId="0" fontId="122" numFmtId="172" pivotButton="0" quotePrefix="0" xfId="29"/>
    <xf borderId="121" fillId="0" fontId="105" numFmtId="172" pivotButton="0" quotePrefix="0" xfId="29"/>
    <xf applyAlignment="1" borderId="0" fillId="0" fontId="105" numFmtId="172" pivotButton="0" quotePrefix="0" xfId="29">
      <alignment vertical="center"/>
    </xf>
    <xf applyAlignment="1" borderId="118" fillId="0" fontId="105" numFmtId="164" pivotButton="0" quotePrefix="0" xfId="29">
      <alignment vertical="center"/>
    </xf>
    <xf borderId="120" fillId="54" fontId="109" numFmtId="172" pivotButton="0" quotePrefix="0" xfId="61"/>
    <xf borderId="120" fillId="0" fontId="109" numFmtId="172" pivotButton="0" quotePrefix="0" xfId="61"/>
    <xf borderId="120" fillId="0" fontId="123" numFmtId="172" pivotButton="0" quotePrefix="0" xfId="61"/>
    <xf borderId="118" fillId="0" fontId="123" numFmtId="172" pivotButton="0" quotePrefix="0" xfId="29"/>
    <xf applyAlignment="1" borderId="0" fillId="0" fontId="105" numFmtId="165" pivotButton="0" quotePrefix="0" xfId="14">
      <alignment horizontal="center" vertical="center"/>
    </xf>
    <xf applyAlignment="1" borderId="86" fillId="46" fontId="104" numFmtId="165" pivotButton="0" quotePrefix="0" xfId="14">
      <alignment horizontal="center" vertical="center"/>
    </xf>
    <xf applyAlignment="1" borderId="119" fillId="0" fontId="105" numFmtId="165" pivotButton="0" quotePrefix="0" xfId="14">
      <alignment horizontal="center" vertical="center"/>
    </xf>
    <xf applyAlignment="1" borderId="119" fillId="46" fontId="105" numFmtId="165" pivotButton="0" quotePrefix="0" xfId="14">
      <alignment horizontal="center" vertical="center"/>
    </xf>
    <xf applyAlignment="1" borderId="108" fillId="0" fontId="105" numFmtId="165" pivotButton="0" quotePrefix="0" xfId="14">
      <alignment horizontal="center" vertical="center"/>
    </xf>
    <xf applyAlignment="1" borderId="0" fillId="0" fontId="105" numFmtId="173" pivotButton="0" quotePrefix="0" xfId="50">
      <alignment vertical="center"/>
    </xf>
    <xf applyAlignment="1" borderId="111" fillId="33" fontId="77" numFmtId="174" pivotButton="0" quotePrefix="0" xfId="0">
      <alignment horizontal="center"/>
    </xf>
    <xf applyAlignment="1" borderId="111" fillId="39" fontId="77" numFmtId="174" pivotButton="0" quotePrefix="0" xfId="0">
      <alignment horizontal="center"/>
    </xf>
    <xf applyAlignment="1" borderId="0" fillId="0" fontId="105" numFmtId="164" pivotButton="0" quotePrefix="0" xfId="29">
      <alignment horizontal="center" vertical="center"/>
    </xf>
    <xf applyAlignment="1" borderId="0" fillId="3" fontId="105" numFmtId="171" pivotButton="0" quotePrefix="0" xfId="29">
      <alignment vertical="center"/>
    </xf>
    <xf applyAlignment="1" borderId="0" fillId="0" fontId="105" numFmtId="171" pivotButton="0" quotePrefix="0" xfId="29">
      <alignment vertical="center"/>
    </xf>
    <xf applyAlignment="1" borderId="0" fillId="0" fontId="60" numFmtId="164" pivotButton="0" quotePrefix="0" xfId="23">
      <alignment vertical="center"/>
    </xf>
    <xf applyAlignment="1" borderId="0" fillId="0" fontId="60" numFmtId="164" pivotButton="0" quotePrefix="0" xfId="23">
      <alignment horizontal="center" vertical="center"/>
    </xf>
    <xf applyAlignment="1" borderId="51" fillId="0" fontId="60" numFmtId="164" pivotButton="0" quotePrefix="0" xfId="23">
      <alignment horizontal="center" vertical="center"/>
    </xf>
    <xf applyAlignment="1" borderId="54" fillId="0" fontId="62" numFmtId="164" pivotButton="0" quotePrefix="0" xfId="23">
      <alignment horizontal="center" vertical="center"/>
    </xf>
    <xf applyAlignment="1" borderId="54" fillId="0" fontId="61" numFmtId="164" pivotButton="0" quotePrefix="0" xfId="23">
      <alignment horizontal="center" vertical="center"/>
    </xf>
    <xf applyAlignment="1" borderId="54" fillId="0" fontId="61" numFmtId="164" pivotButton="0" quotePrefix="0" xfId="23">
      <alignment horizontal="center" vertical="center" wrapText="1"/>
    </xf>
    <xf applyAlignment="1" borderId="54" fillId="0" fontId="60" numFmtId="164" pivotButton="0" quotePrefix="0" xfId="23">
      <alignment horizontal="center" vertical="center"/>
    </xf>
    <xf applyAlignment="1" borderId="22" fillId="0" fontId="60" numFmtId="164" pivotButton="0" quotePrefix="0" xfId="23">
      <alignment vertical="center"/>
    </xf>
    <xf applyAlignment="1" borderId="22" fillId="2" fontId="61" numFmtId="174" pivotButton="0" quotePrefix="0" xfId="23">
      <alignment horizontal="center" vertical="center"/>
    </xf>
    <xf applyAlignment="1" borderId="0" fillId="3" fontId="60" numFmtId="164" pivotButton="0" quotePrefix="0" xfId="23">
      <alignment vertical="center"/>
    </xf>
    <xf applyAlignment="1" borderId="0" fillId="0" fontId="108" numFmtId="164" pivotButton="0" quotePrefix="0" xfId="29">
      <alignment vertical="center"/>
    </xf>
    <xf applyAlignment="1" borderId="0" fillId="0" fontId="23" numFmtId="164" pivotButton="0" quotePrefix="0" xfId="29">
      <alignment vertical="center"/>
    </xf>
    <xf applyAlignment="1" borderId="0" fillId="0" fontId="104" numFmtId="164" pivotButton="0" quotePrefix="0" xfId="29">
      <alignment vertical="center"/>
    </xf>
    <xf applyAlignment="1" borderId="79" fillId="41" fontId="106" numFmtId="168" pivotButton="0" quotePrefix="0" xfId="29">
      <alignment horizontal="center" vertical="center"/>
    </xf>
    <xf applyAlignment="1" borderId="80" fillId="0" fontId="104" numFmtId="172" pivotButton="0" quotePrefix="0" xfId="29">
      <alignment horizontal="center" vertical="center"/>
    </xf>
    <xf applyAlignment="1" borderId="12" fillId="41" fontId="106" numFmtId="172" pivotButton="0" quotePrefix="0" xfId="29">
      <alignment horizontal="center" vertical="center"/>
    </xf>
    <xf applyAlignment="1" borderId="13" fillId="41" fontId="107" numFmtId="164" pivotButton="0" quotePrefix="0" xfId="29">
      <alignment vertical="center"/>
    </xf>
    <xf applyAlignment="1" borderId="14" fillId="41" fontId="106" numFmtId="164" pivotButton="0" quotePrefix="0" xfId="29">
      <alignment horizontal="center" vertical="center"/>
    </xf>
    <xf applyAlignment="1" borderId="80" fillId="41" fontId="106" numFmtId="172" pivotButton="0" quotePrefix="0" xfId="29">
      <alignment horizontal="center" vertical="center"/>
    </xf>
    <xf applyAlignment="1" borderId="80" fillId="0" fontId="105" numFmtId="171" pivotButton="0" quotePrefix="0" xfId="29">
      <alignment horizontal="center" vertical="center" wrapText="1"/>
    </xf>
    <xf applyAlignment="1" borderId="70" fillId="42" fontId="104" numFmtId="172" pivotButton="0" quotePrefix="0" xfId="29">
      <alignment horizontal="center" vertical="center"/>
    </xf>
    <xf applyAlignment="1" borderId="76" fillId="43" fontId="104" numFmtId="172" pivotButton="0" quotePrefix="0" xfId="29">
      <alignment horizontal="center" vertical="center"/>
    </xf>
    <xf applyAlignment="1" borderId="82" fillId="44" fontId="104" numFmtId="164" pivotButton="0" quotePrefix="0" xfId="29">
      <alignment horizontal="center" vertical="center"/>
    </xf>
    <xf borderId="70" fillId="0" fontId="105" numFmtId="172" pivotButton="0" quotePrefix="0" xfId="61"/>
    <xf borderId="80" fillId="0" fontId="105" numFmtId="172" pivotButton="0" quotePrefix="0" xfId="29"/>
    <xf borderId="70" fillId="0" fontId="105" numFmtId="172" pivotButton="0" quotePrefix="0" xfId="29"/>
    <xf borderId="76" fillId="0" fontId="105" numFmtId="172" pivotButton="0" quotePrefix="0" xfId="29"/>
    <xf borderId="82" fillId="0" fontId="105" numFmtId="172" pivotButton="0" quotePrefix="0" xfId="29"/>
    <xf borderId="128" fillId="0" fontId="105" numFmtId="172" pivotButton="0" quotePrefix="0" xfId="29"/>
    <xf borderId="127" fillId="0" fontId="105" numFmtId="172" pivotButton="0" quotePrefix="0" xfId="29"/>
    <xf borderId="129" fillId="0" fontId="105" numFmtId="172" pivotButton="0" quotePrefix="0" xfId="29"/>
    <xf borderId="70" fillId="28" fontId="109" numFmtId="172" pivotButton="0" quotePrefix="0" xfId="61"/>
    <xf borderId="80" fillId="28" fontId="105" numFmtId="172" pivotButton="0" quotePrefix="0" xfId="29"/>
    <xf borderId="70" fillId="28" fontId="105" numFmtId="172" pivotButton="0" quotePrefix="0" xfId="29"/>
    <xf borderId="76" fillId="28" fontId="105" numFmtId="172" pivotButton="0" quotePrefix="0" xfId="29"/>
    <xf borderId="82" fillId="28" fontId="105" numFmtId="172" pivotButton="0" quotePrefix="0" xfId="29"/>
    <xf borderId="128" fillId="28" fontId="105" numFmtId="172" pivotButton="0" quotePrefix="0" xfId="29"/>
    <xf borderId="127" fillId="28" fontId="105" numFmtId="172" pivotButton="0" quotePrefix="0" xfId="29"/>
    <xf borderId="130" fillId="28" fontId="105" numFmtId="172" pivotButton="0" quotePrefix="0" xfId="29"/>
    <xf borderId="85" fillId="0" fontId="105" numFmtId="172" pivotButton="0" quotePrefix="0" xfId="29"/>
    <xf borderId="130" fillId="0" fontId="105" numFmtId="172" pivotButton="0" quotePrefix="0" xfId="29"/>
    <xf applyAlignment="1" borderId="0" fillId="0" fontId="105" numFmtId="165" pivotButton="0" quotePrefix="0" xfId="14">
      <alignment horizontal="left"/>
    </xf>
    <xf borderId="87" fillId="0" fontId="105" numFmtId="172" pivotButton="0" quotePrefix="0" xfId="29"/>
    <xf borderId="77" fillId="0" fontId="105" numFmtId="172" pivotButton="0" quotePrefix="0" xfId="29"/>
    <xf borderId="78" fillId="0" fontId="105" numFmtId="172" pivotButton="0" quotePrefix="0" xfId="29"/>
    <xf applyAlignment="1" borderId="73" fillId="43" fontId="104" numFmtId="165" pivotButton="0" quotePrefix="0" xfId="14">
      <alignment horizontal="left" vertical="center"/>
    </xf>
    <xf applyAlignment="1" borderId="80" fillId="0" fontId="104" numFmtId="165" pivotButton="0" quotePrefix="0" xfId="14">
      <alignment horizontal="center" vertical="center"/>
    </xf>
    <xf applyAlignment="1" borderId="73" fillId="43" fontId="104" numFmtId="165" pivotButton="0" quotePrefix="0" xfId="14">
      <alignment horizontal="center" vertical="center"/>
    </xf>
    <xf applyAlignment="1" borderId="74" fillId="43" fontId="104" numFmtId="165" pivotButton="0" quotePrefix="0" xfId="14">
      <alignment horizontal="center" vertical="center"/>
    </xf>
    <xf applyAlignment="1" borderId="83" fillId="43" fontId="104" numFmtId="165" pivotButton="0" quotePrefix="0" xfId="14">
      <alignment horizontal="center" vertical="center"/>
    </xf>
    <xf applyAlignment="1" borderId="0" fillId="0" fontId="23" numFmtId="164" pivotButton="0" quotePrefix="0" xfId="29">
      <alignment horizontal="right" vertical="center"/>
    </xf>
    <xf applyAlignment="1" borderId="0" fillId="0" fontId="104" numFmtId="164" pivotButton="0" quotePrefix="0" xfId="29">
      <alignment horizontal="right" vertical="center"/>
    </xf>
    <xf applyAlignment="1" borderId="0" fillId="0" fontId="105" numFmtId="172" pivotButton="0" quotePrefix="0" xfId="29">
      <alignment horizontal="right"/>
    </xf>
    <xf applyAlignment="1" borderId="0" fillId="0" fontId="53" numFmtId="164" pivotButton="0" quotePrefix="0" xfId="29">
      <alignment vertical="center"/>
    </xf>
    <xf applyAlignment="1" borderId="79" fillId="45" fontId="110" numFmtId="168" pivotButton="0" quotePrefix="0" xfId="29">
      <alignment horizontal="center" vertical="center"/>
    </xf>
    <xf applyAlignment="1" borderId="12" fillId="45" fontId="106" numFmtId="172" pivotButton="0" quotePrefix="0" xfId="29">
      <alignment horizontal="center" vertical="center"/>
    </xf>
    <xf applyAlignment="1" borderId="13" fillId="45" fontId="107" numFmtId="164" pivotButton="0" quotePrefix="0" xfId="29">
      <alignment vertical="center"/>
    </xf>
    <xf applyAlignment="1" borderId="14" fillId="45" fontId="106" numFmtId="164" pivotButton="0" quotePrefix="0" xfId="29">
      <alignment horizontal="center" vertical="center"/>
    </xf>
    <xf applyAlignment="1" borderId="80" fillId="45" fontId="106" numFmtId="172" pivotButton="0" quotePrefix="0" xfId="29">
      <alignment horizontal="center" vertical="center"/>
    </xf>
    <xf applyAlignment="1" borderId="84" fillId="45" fontId="106" numFmtId="172" pivotButton="0" quotePrefix="0" xfId="29">
      <alignment horizontal="center" vertical="center"/>
    </xf>
    <xf applyAlignment="1" borderId="18" fillId="45" fontId="107" numFmtId="164" pivotButton="0" quotePrefix="0" xfId="29">
      <alignment vertical="center"/>
    </xf>
    <xf applyAlignment="1" borderId="33" fillId="45" fontId="106" numFmtId="164" pivotButton="0" quotePrefix="0" xfId="29">
      <alignment horizontal="center" vertical="center"/>
    </xf>
    <xf applyAlignment="1" borderId="0" fillId="0" fontId="53" numFmtId="165" pivotButton="0" quotePrefix="0" xfId="29">
      <alignment vertical="center"/>
    </xf>
    <xf applyAlignment="1" borderId="0" fillId="0" fontId="108" numFmtId="171" pivotButton="0" quotePrefix="0" xfId="29">
      <alignment vertical="center" wrapText="1"/>
    </xf>
    <xf applyAlignment="1" borderId="0" fillId="0" fontId="108" numFmtId="165" pivotButton="0" quotePrefix="0" xfId="43">
      <alignment vertical="center"/>
    </xf>
    <xf applyAlignment="1" borderId="0" fillId="0" fontId="108" numFmtId="172" pivotButton="0" quotePrefix="0" xfId="29">
      <alignment vertical="center"/>
    </xf>
    <xf applyAlignment="1" borderId="82" fillId="0" fontId="105" numFmtId="164" pivotButton="0" quotePrefix="0" xfId="29">
      <alignment vertical="center"/>
    </xf>
    <xf applyAlignment="1" borderId="76" fillId="0" fontId="105" numFmtId="164" pivotButton="0" quotePrefix="0" xfId="29">
      <alignment vertical="center"/>
    </xf>
    <xf applyAlignment="1" borderId="0" fillId="0" fontId="53" numFmtId="165" pivotButton="0" quotePrefix="0" xfId="43">
      <alignment vertical="center"/>
    </xf>
    <xf borderId="85" fillId="28" fontId="105" numFmtId="172" pivotButton="0" quotePrefix="0" xfId="29"/>
    <xf borderId="85" fillId="18" fontId="105" numFmtId="172" pivotButton="0" quotePrefix="0" xfId="29"/>
    <xf borderId="76" fillId="18" fontId="105" numFmtId="172" pivotButton="0" quotePrefix="0" xfId="29"/>
    <xf borderId="10" fillId="18" fontId="105" numFmtId="172" pivotButton="0" quotePrefix="0" xfId="29"/>
    <xf borderId="88" fillId="0" fontId="105" numFmtId="172" pivotButton="0" quotePrefix="0" xfId="29"/>
    <xf borderId="69" fillId="0" fontId="105" numFmtId="172" pivotButton="0" quotePrefix="0" xfId="29"/>
    <xf applyAlignment="1" borderId="0" fillId="0" fontId="108" numFmtId="165" pivotButton="0" quotePrefix="0" xfId="14">
      <alignment horizontal="center" vertical="center"/>
    </xf>
    <xf applyAlignment="1" borderId="73" fillId="45" fontId="106" numFmtId="165" pivotButton="0" quotePrefix="0" xfId="14">
      <alignment horizontal="center" vertical="center"/>
    </xf>
    <xf applyAlignment="1" borderId="80" fillId="0" fontId="105" numFmtId="165" pivotButton="0" quotePrefix="0" xfId="14">
      <alignment horizontal="center" vertical="center"/>
    </xf>
    <xf applyAlignment="1" borderId="90" fillId="46" fontId="105" numFmtId="165" pivotButton="0" quotePrefix="0" xfId="14">
      <alignment horizontal="center" vertical="center"/>
    </xf>
    <xf applyAlignment="1" borderId="15" fillId="46" fontId="105" numFmtId="165" pivotButton="0" quotePrefix="0" xfId="14">
      <alignment horizontal="center" vertical="center"/>
    </xf>
    <xf applyAlignment="1" borderId="91" fillId="46" fontId="105" numFmtId="165" pivotButton="0" quotePrefix="0" xfId="14">
      <alignment horizontal="center" vertical="center"/>
    </xf>
    <xf applyAlignment="1" borderId="73" fillId="46" fontId="105" numFmtId="165" pivotButton="0" quotePrefix="0" xfId="14">
      <alignment horizontal="center" vertical="center"/>
    </xf>
    <xf applyAlignment="1" borderId="74" fillId="46" fontId="105" numFmtId="165" pivotButton="0" quotePrefix="0" xfId="14">
      <alignment horizontal="center" vertical="center"/>
    </xf>
    <xf applyAlignment="1" borderId="83" fillId="46" fontId="105" numFmtId="165" pivotButton="0" quotePrefix="0" xfId="14">
      <alignment horizontal="center" vertical="center"/>
    </xf>
    <xf applyAlignment="1" borderId="86" fillId="46" fontId="105" numFmtId="165" pivotButton="0" quotePrefix="0" xfId="14">
      <alignment horizontal="center" vertical="center"/>
    </xf>
    <xf applyAlignment="1" borderId="0" fillId="0" fontId="104" numFmtId="165" pivotButton="0" quotePrefix="0" xfId="14">
      <alignment horizontal="center" vertical="center"/>
    </xf>
    <xf applyAlignment="1" borderId="0" fillId="0" fontId="106" numFmtId="165" pivotButton="0" quotePrefix="0" xfId="14">
      <alignment horizontal="center" vertical="center"/>
    </xf>
    <xf applyAlignment="1" borderId="78" fillId="47" fontId="111" numFmtId="168" pivotButton="0" quotePrefix="0" xfId="29">
      <alignment horizontal="center" vertical="center"/>
    </xf>
    <xf applyAlignment="1" borderId="12" fillId="47" fontId="106" numFmtId="172" pivotButton="0" quotePrefix="0" xfId="29">
      <alignment horizontal="center" vertical="center"/>
    </xf>
    <xf applyAlignment="1" borderId="13" fillId="47" fontId="107" numFmtId="164" pivotButton="0" quotePrefix="0" xfId="29">
      <alignment vertical="center"/>
    </xf>
    <xf applyAlignment="1" borderId="14" fillId="47" fontId="106" numFmtId="164" pivotButton="0" quotePrefix="0" xfId="29">
      <alignment horizontal="center" vertical="center"/>
    </xf>
    <xf applyAlignment="1" borderId="80" fillId="47" fontId="106" numFmtId="172" pivotButton="0" quotePrefix="0" xfId="29">
      <alignment horizontal="center" vertical="center"/>
    </xf>
    <xf borderId="17" fillId="0" fontId="105" numFmtId="172" pivotButton="0" quotePrefix="0" xfId="61"/>
    <xf borderId="17" fillId="28" fontId="109" numFmtId="172" pivotButton="0" quotePrefix="0" xfId="61"/>
    <xf borderId="89" fillId="18" fontId="105" numFmtId="172" pivotButton="0" quotePrefix="0" xfId="29"/>
    <xf borderId="11" fillId="18" fontId="105" numFmtId="172" pivotButton="0" quotePrefix="0" xfId="29"/>
    <xf applyAlignment="1" borderId="17" fillId="47" fontId="106" numFmtId="165" pivotButton="0" quotePrefix="0" xfId="14">
      <alignment horizontal="center" vertical="center"/>
    </xf>
    <xf applyAlignment="1" borderId="78" fillId="48" fontId="111" numFmtId="168" pivotButton="0" quotePrefix="0" xfId="29">
      <alignment horizontal="center" vertical="center"/>
    </xf>
    <xf applyAlignment="1" borderId="12" fillId="48" fontId="106" numFmtId="172" pivotButton="0" quotePrefix="0" xfId="29">
      <alignment horizontal="center" vertical="center"/>
    </xf>
    <xf applyAlignment="1" borderId="13" fillId="48" fontId="107" numFmtId="164" pivotButton="0" quotePrefix="0" xfId="29">
      <alignment vertical="center"/>
    </xf>
    <xf applyAlignment="1" borderId="14" fillId="48" fontId="106" numFmtId="164" pivotButton="0" quotePrefix="0" xfId="29">
      <alignment horizontal="center" vertical="center"/>
    </xf>
    <xf applyAlignment="1" borderId="80" fillId="48" fontId="106" numFmtId="172" pivotButton="0" quotePrefix="0" xfId="29">
      <alignment horizontal="center" vertical="center"/>
    </xf>
    <xf borderId="70" fillId="0" fontId="109" numFmtId="172" pivotButton="0" quotePrefix="0" xfId="61"/>
    <xf applyAlignment="1" borderId="78" fillId="48" fontId="111" numFmtId="168" pivotButton="0" quotePrefix="0" xfId="29">
      <alignment vertical="center"/>
    </xf>
    <xf applyAlignment="1" borderId="63" fillId="0" fontId="105" numFmtId="164" pivotButton="0" quotePrefix="0" xfId="29">
      <alignment vertical="center"/>
    </xf>
    <xf applyAlignment="1" borderId="67" fillId="0" fontId="104" numFmtId="164" pivotButton="0" quotePrefix="0" xfId="29">
      <alignment vertical="center"/>
    </xf>
    <xf applyAlignment="1" borderId="96" fillId="41" fontId="106" numFmtId="172" pivotButton="0" quotePrefix="0" xfId="29">
      <alignment horizontal="left" vertical="center"/>
    </xf>
    <xf applyAlignment="1" borderId="54" fillId="41" fontId="106" numFmtId="164" pivotButton="0" quotePrefix="0" xfId="29">
      <alignment horizontal="center" vertical="center"/>
    </xf>
    <xf applyAlignment="1" borderId="0" fillId="41" fontId="106" numFmtId="164" pivotButton="0" quotePrefix="0" xfId="29">
      <alignment horizontal="center" vertical="center"/>
    </xf>
    <xf applyAlignment="1" borderId="7" fillId="41" fontId="106" numFmtId="164" pivotButton="0" quotePrefix="0" xfId="29">
      <alignment horizontal="center" vertical="center"/>
    </xf>
    <xf applyAlignment="1" borderId="5" fillId="41" fontId="106" numFmtId="164" pivotButton="0" quotePrefix="0" xfId="29">
      <alignment horizontal="center" vertical="center"/>
    </xf>
    <xf applyAlignment="1" borderId="100" fillId="41" fontId="106" numFmtId="164" pivotButton="0" quotePrefix="0" xfId="29">
      <alignment horizontal="center" vertical="center"/>
    </xf>
    <xf applyAlignment="1" borderId="13" fillId="41" fontId="106" numFmtId="164" pivotButton="0" quotePrefix="0" xfId="29">
      <alignment horizontal="center" vertical="center"/>
    </xf>
    <xf applyAlignment="1" borderId="65" fillId="41" fontId="106" numFmtId="164" pivotButton="0" quotePrefix="0" xfId="29">
      <alignment horizontal="center" vertical="center"/>
    </xf>
    <xf applyAlignment="1" borderId="103" fillId="41" fontId="106" numFmtId="164" pivotButton="0" quotePrefix="0" xfId="29">
      <alignment horizontal="center" vertical="center"/>
    </xf>
    <xf applyAlignment="1" borderId="92" fillId="41" fontId="106" numFmtId="164" pivotButton="0" quotePrefix="0" xfId="29">
      <alignment horizontal="center" vertical="center"/>
    </xf>
    <xf applyAlignment="1" borderId="102" fillId="41" fontId="106" numFmtId="164" pivotButton="0" quotePrefix="0" xfId="29">
      <alignment horizontal="center" vertical="center"/>
    </xf>
    <xf applyAlignment="1" borderId="65" fillId="0" fontId="104" numFmtId="172" pivotButton="0" quotePrefix="0" xfId="29">
      <alignment horizontal="center" vertical="center"/>
    </xf>
    <xf applyAlignment="1" borderId="76" fillId="44" fontId="104" numFmtId="164" pivotButton="0" quotePrefix="0" xfId="29">
      <alignment horizontal="center" vertical="center"/>
    </xf>
    <xf applyAlignment="1" borderId="10" fillId="42" fontId="104" numFmtId="172" pivotButton="0" quotePrefix="0" xfId="29">
      <alignment horizontal="center" vertical="center"/>
    </xf>
    <xf applyAlignment="1" borderId="76" fillId="42" fontId="104" numFmtId="172" pivotButton="0" quotePrefix="0" xfId="29">
      <alignment horizontal="center" vertical="center"/>
    </xf>
    <xf applyAlignment="1" borderId="93" fillId="44" fontId="104" numFmtId="164" pivotButton="0" quotePrefix="0" xfId="29">
      <alignment horizontal="center" vertical="center"/>
    </xf>
    <xf applyAlignment="1" borderId="65" fillId="0" fontId="105" numFmtId="171" pivotButton="0" quotePrefix="0" xfId="29">
      <alignment horizontal="center" vertical="center" wrapText="1"/>
    </xf>
    <xf borderId="10" fillId="0" fontId="105" numFmtId="172" pivotButton="0" quotePrefix="0" xfId="29"/>
    <xf borderId="48" fillId="0" fontId="105" numFmtId="172" pivotButton="0" quotePrefix="0" xfId="29"/>
    <xf borderId="65" fillId="0" fontId="105" numFmtId="172" pivotButton="0" quotePrefix="0" xfId="29"/>
    <xf borderId="72" fillId="0" fontId="105" numFmtId="172" pivotButton="0" quotePrefix="0" xfId="29"/>
    <xf borderId="10" fillId="28" fontId="105" numFmtId="172" pivotButton="0" quotePrefix="0" xfId="29"/>
    <xf borderId="65" fillId="28" fontId="105" numFmtId="172" pivotButton="0" quotePrefix="0" xfId="29"/>
    <xf borderId="121" fillId="28" fontId="105" numFmtId="172" pivotButton="0" quotePrefix="0" xfId="29"/>
    <xf borderId="126" fillId="0" fontId="105" numFmtId="172" pivotButton="0" quotePrefix="0" xfId="29"/>
    <xf applyAlignment="1" borderId="15" fillId="43" fontId="104" numFmtId="165" pivotButton="0" quotePrefix="0" xfId="14">
      <alignment horizontal="center" vertical="center"/>
    </xf>
    <xf applyAlignment="1" borderId="91" fillId="43" fontId="104" numFmtId="165" pivotButton="0" quotePrefix="0" xfId="14">
      <alignment horizontal="center" vertical="center"/>
    </xf>
    <xf applyAlignment="1" borderId="108" fillId="43" fontId="104" numFmtId="165" pivotButton="0" quotePrefix="0" xfId="14">
      <alignment horizontal="center" vertical="center"/>
    </xf>
    <xf applyAlignment="1" borderId="65" fillId="0" fontId="104" numFmtId="165" pivotButton="0" quotePrefix="0" xfId="14">
      <alignment horizontal="center" vertical="center"/>
    </xf>
    <xf applyAlignment="1" borderId="67" fillId="0" fontId="105" numFmtId="172" pivotButton="0" quotePrefix="0" xfId="29">
      <alignment horizontal="right"/>
    </xf>
    <xf applyAlignment="1" borderId="96" fillId="45" fontId="106" numFmtId="172" pivotButton="0" quotePrefix="0" xfId="29">
      <alignment horizontal="left" vertical="center"/>
    </xf>
    <xf applyAlignment="1" borderId="13" fillId="45" fontId="106" numFmtId="172" pivotButton="0" quotePrefix="0" xfId="29">
      <alignment horizontal="center" vertical="center"/>
    </xf>
    <xf applyAlignment="1" borderId="98" fillId="45" fontId="106" numFmtId="172" pivotButton="0" quotePrefix="0" xfId="29">
      <alignment horizontal="center" vertical="center"/>
    </xf>
    <xf applyAlignment="1" borderId="97" fillId="45" fontId="106" numFmtId="172" pivotButton="0" quotePrefix="0" xfId="29">
      <alignment horizontal="center" vertical="center"/>
    </xf>
    <xf applyAlignment="1" borderId="13" fillId="45" fontId="106" numFmtId="164" pivotButton="0" quotePrefix="0" xfId="29">
      <alignment horizontal="center" vertical="center"/>
    </xf>
    <xf applyAlignment="1" borderId="7" fillId="45" fontId="106" numFmtId="164" pivotButton="0" quotePrefix="0" xfId="29">
      <alignment horizontal="center" vertical="center"/>
    </xf>
    <xf applyAlignment="1" borderId="48" fillId="45" fontId="106" numFmtId="164" pivotButton="0" quotePrefix="0" xfId="29">
      <alignment horizontal="center" vertical="center"/>
    </xf>
    <xf applyAlignment="1" borderId="65" fillId="45" fontId="106" numFmtId="164" pivotButton="0" quotePrefix="0" xfId="29">
      <alignment horizontal="center" vertical="center"/>
    </xf>
    <xf applyAlignment="1" borderId="0" fillId="45" fontId="106" numFmtId="164" pivotButton="0" quotePrefix="0" xfId="29">
      <alignment horizontal="center" vertical="center"/>
    </xf>
    <xf borderId="11" fillId="0" fontId="105" numFmtId="172" pivotButton="0" quotePrefix="0" xfId="29"/>
    <xf borderId="7" fillId="0" fontId="105" numFmtId="172" pivotButton="0" quotePrefix="0" xfId="29"/>
    <xf borderId="131" fillId="0" fontId="105" numFmtId="172" pivotButton="0" quotePrefix="0" xfId="29"/>
    <xf borderId="89" fillId="0" fontId="105" numFmtId="172" pivotButton="0" quotePrefix="0" xfId="61"/>
    <xf borderId="81" fillId="0" fontId="105" numFmtId="172" pivotButton="0" quotePrefix="0" xfId="29"/>
    <xf borderId="89" fillId="0" fontId="105" numFmtId="172" pivotButton="0" quotePrefix="0" xfId="29"/>
    <xf borderId="54" fillId="0" fontId="105" numFmtId="172" pivotButton="0" quotePrefix="0" xfId="29"/>
    <xf borderId="71" fillId="0" fontId="105" numFmtId="172" pivotButton="0" quotePrefix="0" xfId="29"/>
    <xf borderId="101" fillId="0" fontId="105" numFmtId="172" pivotButton="0" quotePrefix="0" xfId="29"/>
    <xf borderId="75" fillId="28" fontId="109" numFmtId="172" pivotButton="0" quotePrefix="0" xfId="61"/>
    <xf borderId="75" fillId="28" fontId="105" numFmtId="172" pivotButton="0" quotePrefix="0" xfId="29"/>
    <xf borderId="54" fillId="28" fontId="105" numFmtId="172" pivotButton="0" quotePrefix="0" xfId="29"/>
    <xf borderId="4" fillId="28" fontId="105" numFmtId="172" pivotButton="0" quotePrefix="0" xfId="29"/>
    <xf borderId="110" fillId="28" fontId="105" numFmtId="172" pivotButton="0" quotePrefix="0" xfId="29"/>
    <xf borderId="3" fillId="28" fontId="105" numFmtId="172" pivotButton="0" quotePrefix="0" xfId="29"/>
    <xf borderId="7" fillId="28" fontId="105" numFmtId="172" pivotButton="0" quotePrefix="0" xfId="29"/>
    <xf borderId="48" fillId="28" fontId="105" numFmtId="172" pivotButton="0" quotePrefix="0" xfId="29"/>
    <xf borderId="72" fillId="28" fontId="105" numFmtId="172" pivotButton="0" quotePrefix="0" xfId="29"/>
    <xf borderId="17" fillId="18" fontId="105" numFmtId="172" pivotButton="0" quotePrefix="0" xfId="29"/>
    <xf borderId="82" fillId="18" fontId="105" numFmtId="172" pivotButton="0" quotePrefix="0" xfId="29"/>
    <xf borderId="17" fillId="0" fontId="105" numFmtId="172" pivotButton="0" quotePrefix="0" xfId="29"/>
    <xf borderId="49" fillId="0" fontId="105" numFmtId="172" pivotButton="0" quotePrefix="0" xfId="29"/>
    <xf borderId="94" fillId="0" fontId="105" numFmtId="172" pivotButton="0" quotePrefix="0" xfId="29"/>
    <xf applyAlignment="1" borderId="65" fillId="0" fontId="105" numFmtId="165" pivotButton="0" quotePrefix="0" xfId="14">
      <alignment horizontal="center" vertical="center"/>
    </xf>
    <xf applyAlignment="1" borderId="95" fillId="46" fontId="105" numFmtId="165" pivotButton="0" quotePrefix="0" xfId="14">
      <alignment horizontal="center" vertical="center"/>
    </xf>
    <xf applyAlignment="1" borderId="67" fillId="0" fontId="104" numFmtId="172" pivotButton="0" quotePrefix="0" xfId="29">
      <alignment horizontal="center"/>
    </xf>
    <xf applyAlignment="1" borderId="72" fillId="47" fontId="111" numFmtId="168" pivotButton="0" quotePrefix="0" xfId="29">
      <alignment horizontal="center" vertical="center"/>
    </xf>
    <xf applyAlignment="1" borderId="96" fillId="47" fontId="106" numFmtId="172" pivotButton="0" quotePrefix="0" xfId="29">
      <alignment horizontal="left" vertical="center"/>
    </xf>
    <xf applyAlignment="1" borderId="5" fillId="47" fontId="106" numFmtId="164" pivotButton="0" quotePrefix="0" xfId="29">
      <alignment horizontal="center" vertical="center"/>
    </xf>
    <xf applyAlignment="1" borderId="54" fillId="47" fontId="106" numFmtId="164" pivotButton="0" quotePrefix="0" xfId="29">
      <alignment horizontal="center" vertical="center"/>
    </xf>
    <xf applyAlignment="1" borderId="0" fillId="47" fontId="106" numFmtId="164" pivotButton="0" quotePrefix="0" xfId="29">
      <alignment horizontal="center" vertical="center"/>
    </xf>
    <xf applyAlignment="1" borderId="65" fillId="47" fontId="106" numFmtId="164" pivotButton="0" quotePrefix="0" xfId="29">
      <alignment horizontal="center" vertical="center"/>
    </xf>
    <xf applyAlignment="1" borderId="100" fillId="47" fontId="106" numFmtId="164" pivotButton="0" quotePrefix="0" xfId="29">
      <alignment horizontal="center" vertical="center"/>
    </xf>
    <xf applyAlignment="1" borderId="71" fillId="47" fontId="106" numFmtId="164" pivotButton="0" quotePrefix="0" xfId="29">
      <alignment horizontal="center" vertical="center"/>
    </xf>
    <xf applyAlignment="1" borderId="13" fillId="47" fontId="106" numFmtId="164" pivotButton="0" quotePrefix="0" xfId="29">
      <alignment horizontal="center" vertical="center"/>
    </xf>
    <xf borderId="93" fillId="28" fontId="105" numFmtId="172" pivotButton="0" quotePrefix="0" xfId="29"/>
    <xf borderId="17" fillId="28" fontId="105" numFmtId="172" pivotButton="0" quotePrefix="0" xfId="29"/>
    <xf applyAlignment="1" borderId="67" fillId="0" fontId="105" numFmtId="165" pivotButton="0" quotePrefix="0" xfId="14">
      <alignment horizontal="center" vertical="center"/>
    </xf>
    <xf applyAlignment="1" borderId="99" fillId="48" fontId="111" numFmtId="168" pivotButton="0" quotePrefix="0" xfId="29">
      <alignment horizontal="center" vertical="center"/>
    </xf>
    <xf applyAlignment="1" borderId="96" fillId="48" fontId="106" numFmtId="172" pivotButton="0" quotePrefix="0" xfId="29">
      <alignment horizontal="left" vertical="center"/>
    </xf>
    <xf applyAlignment="1" borderId="54" fillId="48" fontId="106" numFmtId="164" pivotButton="0" quotePrefix="0" xfId="29">
      <alignment horizontal="center" vertical="center"/>
    </xf>
    <xf applyAlignment="1" borderId="0" fillId="48" fontId="106" numFmtId="164" pivotButton="0" quotePrefix="0" xfId="29">
      <alignment horizontal="center" vertical="center"/>
    </xf>
    <xf applyAlignment="1" borderId="5" fillId="48" fontId="106" numFmtId="164" pivotButton="0" quotePrefix="0" xfId="29">
      <alignment horizontal="center" vertical="center"/>
    </xf>
    <xf applyAlignment="1" borderId="71" fillId="48" fontId="106" numFmtId="164" pivotButton="0" quotePrefix="0" xfId="29">
      <alignment horizontal="center" vertical="center"/>
    </xf>
    <xf applyAlignment="1" borderId="13" fillId="48" fontId="106" numFmtId="164" pivotButton="0" quotePrefix="0" xfId="29">
      <alignment horizontal="center" vertical="center"/>
    </xf>
    <xf borderId="93" fillId="0" fontId="105" numFmtId="172" pivotButton="0" quotePrefix="0" xfId="29"/>
    <xf applyAlignment="1" borderId="104" fillId="46" fontId="105" numFmtId="165" pivotButton="0" quotePrefix="0" xfId="14">
      <alignment horizontal="center" vertical="center"/>
    </xf>
    <xf applyAlignment="1" borderId="106" fillId="46" fontId="105" numFmtId="165" pivotButton="0" quotePrefix="0" xfId="14">
      <alignment horizontal="center" vertical="center"/>
    </xf>
    <xf applyAlignment="1" borderId="107" fillId="46" fontId="105" numFmtId="165" pivotButton="0" quotePrefix="0" xfId="14">
      <alignment horizontal="center" vertical="center"/>
    </xf>
    <xf applyAlignment="1" borderId="105" fillId="46" fontId="105" numFmtId="165" pivotButton="0" quotePrefix="0" xfId="14">
      <alignment horizontal="center" vertical="center"/>
    </xf>
    <xf borderId="127" fillId="18" fontId="105" numFmtId="172" pivotButton="0" quotePrefix="0" xfId="29"/>
    <xf borderId="129" fillId="18" fontId="105" numFmtId="172" pivotButton="0" quotePrefix="0" xfId="29"/>
    <xf borderId="128" fillId="18" fontId="105" numFmtId="172" pivotButton="0" quotePrefix="0" xfId="29"/>
    <xf borderId="121" fillId="18" fontId="105" numFmtId="172" pivotButton="0" quotePrefix="0" xfId="29"/>
    <xf borderId="0" fillId="0" fontId="22" numFmtId="164" pivotButton="0" quotePrefix="0" xfId="0"/>
    <xf borderId="0" fillId="0" fontId="10" numFmtId="164" pivotButton="0" quotePrefix="0" xfId="24"/>
    <xf borderId="0" fillId="3" fontId="13" numFmtId="164" pivotButton="0" quotePrefix="0" xfId="24"/>
    <xf borderId="0" fillId="0" fontId="12" numFmtId="165" pivotButton="0" quotePrefix="0" xfId="31"/>
    <xf borderId="0" fillId="0" fontId="12" numFmtId="166" pivotButton="0" quotePrefix="0" xfId="31"/>
    <xf borderId="0" fillId="0" fontId="8" numFmtId="167" pivotButton="0" quotePrefix="0" xfId="15"/>
    <xf borderId="0" fillId="0" fontId="2" numFmtId="165" pivotButton="0" quotePrefix="0" xfId="43"/>
    <xf borderId="0" fillId="15" fontId="25" numFmtId="164" pivotButton="0" quotePrefix="0" xfId="0"/>
    <xf applyAlignment="1" borderId="11" fillId="15" fontId="26" numFmtId="164" pivotButton="0" quotePrefix="0" xfId="24">
      <alignment horizontal="center"/>
    </xf>
    <xf applyAlignment="1" borderId="16" fillId="15" fontId="46" numFmtId="164" pivotButton="0" quotePrefix="0" xfId="24">
      <alignment horizontal="center"/>
    </xf>
    <xf applyAlignment="1" borderId="11" fillId="15" fontId="24" numFmtId="164" pivotButton="0" quotePrefix="0" xfId="39">
      <alignment horizontal="center" vertical="center"/>
    </xf>
    <xf applyAlignment="1" borderId="141" fillId="15" fontId="24" numFmtId="164" pivotButton="0" quotePrefix="0" xfId="39">
      <alignment horizontal="center" vertical="center"/>
    </xf>
    <xf applyAlignment="1" borderId="0" fillId="0" fontId="150" numFmtId="164" pivotButton="0" quotePrefix="0" xfId="0">
      <alignment horizontal="center" vertical="center"/>
    </xf>
    <xf applyAlignment="1" borderId="6" fillId="13" fontId="10" numFmtId="164" pivotButton="0" quotePrefix="1" xfId="24">
      <alignment wrapText="1"/>
    </xf>
    <xf borderId="21" fillId="12" fontId="8" numFmtId="164" pivotButton="0" quotePrefix="0" xfId="24"/>
    <xf borderId="0" fillId="0" fontId="22" numFmtId="174" pivotButton="0" quotePrefix="0" xfId="0"/>
    <xf borderId="6" fillId="13" fontId="23" numFmtId="164" pivotButton="0" quotePrefix="0" xfId="24"/>
    <xf borderId="1" fillId="0" fontId="8" numFmtId="164" pivotButton="0" quotePrefix="0" xfId="24"/>
    <xf borderId="6" fillId="13" fontId="5" numFmtId="164" pivotButton="0" quotePrefix="1" xfId="24"/>
    <xf applyAlignment="1" borderId="0" fillId="13" fontId="8" numFmtId="170" pivotButton="0" quotePrefix="0" xfId="39">
      <alignment vertical="center"/>
    </xf>
    <xf borderId="48" fillId="0" fontId="8" numFmtId="164" pivotButton="0" quotePrefix="0" xfId="24"/>
    <xf borderId="2" fillId="14" fontId="8" numFmtId="164" pivotButton="0" quotePrefix="0" xfId="24"/>
    <xf applyAlignment="1" borderId="40" fillId="16" fontId="8" numFmtId="164" pivotButton="0" quotePrefix="0" xfId="24">
      <alignment wrapText="1"/>
    </xf>
    <xf borderId="40" fillId="16" fontId="8" numFmtId="164" pivotButton="0" quotePrefix="0" xfId="24"/>
    <xf borderId="127" fillId="16" fontId="8" numFmtId="164" pivotButton="0" quotePrefix="0" xfId="24"/>
    <xf applyAlignment="1" borderId="40" fillId="2" fontId="8" numFmtId="164" pivotButton="0" quotePrefix="0" xfId="24">
      <alignment wrapText="1"/>
    </xf>
    <xf applyAlignment="1" borderId="152" fillId="0" fontId="47" numFmtId="169" pivotButton="0" quotePrefix="0" xfId="24">
      <alignment horizontal="center"/>
    </xf>
    <xf applyAlignment="1" borderId="45" fillId="0" fontId="47" numFmtId="169" pivotButton="0" quotePrefix="0" xfId="24">
      <alignment horizontal="right" vertical="center"/>
    </xf>
    <xf borderId="143" fillId="0" fontId="22" numFmtId="174" pivotButton="0" quotePrefix="0" xfId="0"/>
    <xf borderId="150" fillId="0" fontId="22" numFmtId="174" pivotButton="0" quotePrefix="0" xfId="0"/>
    <xf applyAlignment="1" borderId="127" fillId="0" fontId="11" numFmtId="169" pivotButton="0" quotePrefix="0" xfId="24">
      <alignment horizontal="center" vertical="center"/>
    </xf>
    <xf borderId="137" fillId="0" fontId="11" numFmtId="169" pivotButton="0" quotePrefix="0" xfId="24"/>
    <xf applyAlignment="1" borderId="154" fillId="0" fontId="41" numFmtId="169" pivotButton="0" quotePrefix="0" xfId="24">
      <alignment horizontal="center"/>
    </xf>
    <xf borderId="0" fillId="0" fontId="11" numFmtId="169" pivotButton="0" quotePrefix="0" xfId="24"/>
    <xf applyAlignment="1" borderId="49" fillId="0" fontId="41" numFmtId="169" pivotButton="0" quotePrefix="0" xfId="24">
      <alignment horizontal="center"/>
    </xf>
    <xf applyAlignment="1" borderId="5" fillId="0" fontId="41" numFmtId="169" pivotButton="0" quotePrefix="0" xfId="24">
      <alignment horizontal="center"/>
    </xf>
    <xf borderId="3" fillId="0" fontId="11" numFmtId="169" pivotButton="0" quotePrefix="0" xfId="24"/>
    <xf applyAlignment="1" borderId="0" fillId="0" fontId="41" numFmtId="169" pivotButton="0" quotePrefix="0" xfId="24">
      <alignment horizontal="center"/>
    </xf>
    <xf applyAlignment="1" borderId="3" fillId="0" fontId="41" numFmtId="169" pivotButton="0" quotePrefix="0" xfId="24">
      <alignment horizontal="center"/>
    </xf>
    <xf applyAlignment="1" borderId="0" fillId="0" fontId="11" numFmtId="169" pivotButton="0" quotePrefix="0" xfId="24">
      <alignment horizontal="left"/>
    </xf>
    <xf borderId="0" fillId="0" fontId="22" numFmtId="171" pivotButton="0" quotePrefix="0" xfId="0"/>
    <xf applyAlignment="1" borderId="6" fillId="13" fontId="10" numFmtId="174" pivotButton="0" quotePrefix="1" xfId="24">
      <alignment horizontal="left" wrapText="1"/>
    </xf>
    <xf applyAlignment="1" borderId="6" fillId="13" fontId="1" numFmtId="174" pivotButton="0" quotePrefix="1" xfId="24">
      <alignment horizontal="left" wrapText="1"/>
    </xf>
    <xf borderId="48" fillId="14" fontId="8" numFmtId="164" pivotButton="0" quotePrefix="0" xfId="24"/>
    <xf borderId="4" fillId="13" fontId="8" numFmtId="164" pivotButton="0" quotePrefix="0" xfId="24"/>
    <xf borderId="49" fillId="13" fontId="11" numFmtId="169" pivotButton="0" quotePrefix="0" xfId="24"/>
    <xf borderId="6" fillId="13" fontId="11" numFmtId="169" pivotButton="0" quotePrefix="0" xfId="24"/>
    <xf borderId="133" fillId="4" fontId="8" numFmtId="164" pivotButton="0" quotePrefix="0" xfId="24"/>
    <xf borderId="7" fillId="13" fontId="8" numFmtId="164" pivotButton="0" quotePrefix="0" xfId="24"/>
    <xf borderId="0" fillId="0" fontId="180" numFmtId="174" pivotButton="0" quotePrefix="0" xfId="0"/>
    <xf borderId="0" fillId="0" fontId="180" numFmtId="171" pivotButton="0" quotePrefix="0" xfId="0"/>
    <xf applyAlignment="1" borderId="137" fillId="0" fontId="41" numFmtId="169" pivotButton="0" quotePrefix="0" xfId="24">
      <alignment horizontal="center"/>
    </xf>
    <xf applyAlignment="1" borderId="0" fillId="0" fontId="16" numFmtId="180" pivotButton="0" quotePrefix="0" xfId="39">
      <alignment horizontal="center" vertical="center"/>
    </xf>
    <xf applyAlignment="1" borderId="153" fillId="0" fontId="11" numFmtId="169" pivotButton="0" quotePrefix="0" xfId="24">
      <alignment horizontal="center" vertical="center"/>
    </xf>
    <xf applyAlignment="1" borderId="133" fillId="0" fontId="149" numFmtId="164" pivotButton="0" quotePrefix="0" xfId="0">
      <alignment horizontal="center" vertical="center"/>
    </xf>
    <xf borderId="132" fillId="0" fontId="11" numFmtId="169" pivotButton="0" quotePrefix="0" xfId="24"/>
    <xf applyAlignment="1" borderId="137" fillId="0" fontId="47" numFmtId="169" pivotButton="0" quotePrefix="0" xfId="24">
      <alignment horizontal="center"/>
    </xf>
    <xf borderId="49" fillId="0" fontId="11" numFmtId="169" pivotButton="0" quotePrefix="0" xfId="24"/>
    <xf applyAlignment="1" borderId="0" fillId="0" fontId="47" numFmtId="169" pivotButton="0" quotePrefix="0" xfId="24">
      <alignment horizontal="center"/>
    </xf>
    <xf applyAlignment="1" borderId="3" fillId="0" fontId="47" numFmtId="169" pivotButton="0" quotePrefix="0" xfId="24">
      <alignment horizontal="center"/>
    </xf>
    <xf borderId="0" fillId="0" fontId="25" numFmtId="164" pivotButton="0" quotePrefix="0" xfId="0"/>
    <xf applyAlignment="1" borderId="40" fillId="2" fontId="8" numFmtId="174" pivotButton="0" quotePrefix="0" xfId="24">
      <alignment horizontal="right" vertical="center" wrapText="1"/>
    </xf>
    <xf applyAlignment="1" borderId="137" fillId="0" fontId="5" numFmtId="180" pivotButton="0" quotePrefix="0" xfId="39">
      <alignment horizontal="center" vertical="center"/>
    </xf>
    <xf applyAlignment="1" borderId="0" fillId="0" fontId="5" numFmtId="180" pivotButton="0" quotePrefix="0" xfId="39">
      <alignment horizontal="center" vertical="center"/>
    </xf>
    <xf applyAlignment="1" borderId="0" fillId="0" fontId="41" numFmtId="180" pivotButton="0" quotePrefix="0" xfId="39">
      <alignment horizontal="center" vertical="center"/>
    </xf>
    <xf borderId="49" fillId="13" fontId="8" numFmtId="169" pivotButton="0" quotePrefix="0" xfId="24"/>
    <xf borderId="0" fillId="0" fontId="144" numFmtId="174" pivotButton="0" quotePrefix="0" xfId="0"/>
    <xf borderId="49" fillId="13" fontId="147" numFmtId="169" pivotButton="0" quotePrefix="0" xfId="24"/>
    <xf borderId="49" fillId="13" fontId="148" numFmtId="169" pivotButton="0" quotePrefix="0" xfId="24"/>
    <xf applyAlignment="1" borderId="40" fillId="16" fontId="8" numFmtId="164" pivotButton="0" quotePrefix="0" xfId="24">
      <alignment horizontal="left" vertical="center" wrapText="1"/>
    </xf>
    <xf borderId="164" fillId="13" fontId="8" numFmtId="174" pivotButton="0" quotePrefix="0" xfId="24"/>
    <xf borderId="7" fillId="13" fontId="8" numFmtId="174" pivotButton="0" quotePrefix="0" xfId="24"/>
    <xf applyAlignment="1" borderId="133" fillId="0" fontId="11" numFmtId="169" pivotButton="0" quotePrefix="0" xfId="24">
      <alignment horizontal="center" vertical="center"/>
    </xf>
    <xf applyAlignment="1" borderId="0" fillId="0" fontId="149" numFmtId="164" pivotButton="0" quotePrefix="0" xfId="0">
      <alignment horizontal="center" vertical="center"/>
    </xf>
    <xf applyAlignment="1" borderId="6" fillId="13" fontId="16" numFmtId="174" pivotButton="0" quotePrefix="1" xfId="24">
      <alignment horizontal="left" wrapText="1"/>
    </xf>
    <xf borderId="0" fillId="19" fontId="22" numFmtId="164" pivotButton="0" quotePrefix="0" xfId="0"/>
    <xf applyAlignment="1" borderId="40" fillId="16" fontId="8" numFmtId="164" pivotButton="0" quotePrefix="0" xfId="24">
      <alignment vertical="center" wrapText="1"/>
    </xf>
    <xf borderId="127" fillId="4" fontId="8" numFmtId="164" pivotButton="0" quotePrefix="0" xfId="24"/>
    <xf applyAlignment="1" borderId="132" fillId="0" fontId="41" numFmtId="169" pivotButton="0" quotePrefix="0" xfId="24">
      <alignment horizontal="center"/>
    </xf>
    <xf applyAlignment="1" borderId="133" fillId="0" fontId="41" numFmtId="169" pivotButton="0" quotePrefix="0" xfId="24">
      <alignment horizontal="center"/>
    </xf>
    <xf applyAlignment="1" borderId="48" fillId="0" fontId="41" numFmtId="169" pivotButton="0" quotePrefix="0" xfId="24">
      <alignment horizontal="center"/>
    </xf>
    <xf applyAlignment="1" borderId="54" fillId="0" fontId="41" numFmtId="169" pivotButton="0" quotePrefix="0" xfId="24">
      <alignment horizontal="center"/>
    </xf>
    <xf applyAlignment="1" borderId="133" fillId="0" fontId="47" numFmtId="169" pivotButton="0" quotePrefix="0" xfId="24">
      <alignment horizontal="center"/>
    </xf>
    <xf borderId="127" fillId="0" fontId="25" numFmtId="164" pivotButton="0" quotePrefix="0" xfId="0"/>
    <xf applyAlignment="1" borderId="48" fillId="0" fontId="47" numFmtId="169" pivotButton="0" quotePrefix="0" xfId="24">
      <alignment horizontal="center"/>
    </xf>
    <xf applyAlignment="1" borderId="54" fillId="0" fontId="47" numFmtId="169" pivotButton="0" quotePrefix="0" xfId="24">
      <alignment horizontal="center"/>
    </xf>
    <xf applyAlignment="1" borderId="6" fillId="13" fontId="16" numFmtId="174" pivotButton="0" quotePrefix="1" xfId="24">
      <alignment horizontal="center" wrapText="1"/>
    </xf>
    <xf applyAlignment="1" borderId="46" fillId="0" fontId="47" numFmtId="169" pivotButton="0" quotePrefix="0" xfId="24">
      <alignment horizontal="center"/>
    </xf>
    <xf applyAlignment="1" borderId="49" fillId="64" fontId="41" numFmtId="169" pivotButton="0" quotePrefix="0" xfId="24">
      <alignment horizontal="center"/>
    </xf>
    <xf applyAlignment="1" borderId="7" fillId="0" fontId="41" numFmtId="169" pivotButton="0" quotePrefix="0" xfId="24">
      <alignment horizontal="center"/>
    </xf>
    <xf borderId="0" fillId="0" fontId="25" numFmtId="174" pivotButton="0" quotePrefix="0" xfId="0"/>
    <xf borderId="1" fillId="4" fontId="8" numFmtId="164" pivotButton="0" quotePrefix="0" xfId="24"/>
    <xf borderId="0" fillId="0" fontId="48" numFmtId="164" pivotButton="0" quotePrefix="0" xfId="0"/>
    <xf borderId="129" fillId="0" fontId="25" numFmtId="164" pivotButton="0" quotePrefix="0" xfId="0"/>
    <xf applyAlignment="1" borderId="7" fillId="13" fontId="16" numFmtId="174" pivotButton="0" quotePrefix="1" xfId="24">
      <alignment vertical="center" wrapText="1"/>
    </xf>
    <xf applyAlignment="1" borderId="3" fillId="15" fontId="26" numFmtId="164" pivotButton="0" quotePrefix="0" xfId="24">
      <alignment horizontal="center"/>
    </xf>
    <xf borderId="4" fillId="13" fontId="42" numFmtId="164" pivotButton="0" quotePrefix="0" xfId="24"/>
    <xf borderId="164" fillId="16" fontId="8" numFmtId="164" pivotButton="0" quotePrefix="0" xfId="24"/>
    <xf borderId="0" fillId="0" fontId="8" numFmtId="169" pivotButton="0" quotePrefix="0" xfId="24"/>
    <xf applyAlignment="1" borderId="6" fillId="13" fontId="5" numFmtId="174" pivotButton="0" quotePrefix="1" xfId="24">
      <alignment horizontal="left" wrapText="1"/>
    </xf>
    <xf applyAlignment="1" borderId="0" fillId="13" fontId="5" numFmtId="170" pivotButton="0" quotePrefix="0" xfId="39">
      <alignment vertical="center"/>
    </xf>
    <xf applyAlignment="1" borderId="7" fillId="0" fontId="16" numFmtId="180" pivotButton="0" quotePrefix="0" xfId="39">
      <alignment horizontal="center" vertical="center"/>
    </xf>
    <xf applyAlignment="1" borderId="0" fillId="0" fontId="130" numFmtId="180" pivotButton="0" quotePrefix="0" xfId="39">
      <alignment horizontal="center" vertical="center"/>
    </xf>
    <xf applyAlignment="1" borderId="7" fillId="0" fontId="47" numFmtId="169" pivotButton="0" quotePrefix="0" xfId="24">
      <alignment horizontal="center"/>
    </xf>
    <xf borderId="0" fillId="0" fontId="9" numFmtId="169" pivotButton="0" quotePrefix="0" xfId="24"/>
    <xf borderId="40" fillId="4" fontId="8" numFmtId="164" pivotButton="0" quotePrefix="0" xfId="24"/>
    <xf borderId="0" fillId="63" fontId="143" numFmtId="174" pivotButton="0" quotePrefix="0" xfId="0"/>
    <xf borderId="0" fillId="63" fontId="62" numFmtId="189" pivotButton="0" quotePrefix="0" xfId="50"/>
    <xf borderId="0" fillId="63" fontId="144" numFmtId="164" pivotButton="0" quotePrefix="0" xfId="0"/>
    <xf borderId="0" fillId="63" fontId="144" numFmtId="174" pivotButton="0" quotePrefix="0" xfId="0"/>
    <xf borderId="0" fillId="63" fontId="62" numFmtId="164" pivotButton="0" quotePrefix="0" xfId="0"/>
    <xf borderId="0" fillId="63" fontId="145" numFmtId="164" pivotButton="0" quotePrefix="0" xfId="0"/>
    <xf applyAlignment="1" borderId="0" fillId="63" fontId="62" numFmtId="164" pivotButton="0" quotePrefix="0" xfId="0">
      <alignment horizontal="center" vertical="center"/>
    </xf>
    <xf borderId="0" fillId="63" fontId="146" numFmtId="174" pivotButton="0" quotePrefix="0" xfId="0"/>
    <xf borderId="0" fillId="63" fontId="145" numFmtId="174" pivotButton="0" quotePrefix="0" xfId="0"/>
    <xf borderId="0" fillId="0" fontId="62" numFmtId="164" pivotButton="0" quotePrefix="0" xfId="0"/>
    <xf borderId="0" fillId="0" fontId="144" numFmtId="164" pivotButton="0" quotePrefix="0" xfId="0"/>
    <xf applyAlignment="1" borderId="0" fillId="64" fontId="143" numFmtId="174" pivotButton="0" quotePrefix="0" xfId="0">
      <alignment wrapText="1"/>
    </xf>
    <xf borderId="0" fillId="64" fontId="62" numFmtId="189" pivotButton="0" quotePrefix="0" xfId="50"/>
    <xf borderId="0" fillId="64" fontId="144" numFmtId="164" pivotButton="0" quotePrefix="0" xfId="0"/>
    <xf borderId="0" fillId="64" fontId="62" numFmtId="164" pivotButton="0" quotePrefix="0" xfId="0"/>
    <xf borderId="0" fillId="64" fontId="144" numFmtId="174" pivotButton="0" quotePrefix="0" xfId="0"/>
    <xf borderId="0" fillId="64" fontId="145" numFmtId="164" pivotButton="0" quotePrefix="0" xfId="0"/>
    <xf borderId="0" fillId="64" fontId="145" numFmtId="174" pivotButton="0" quotePrefix="0" xfId="0"/>
    <xf applyAlignment="1" borderId="0" fillId="64" fontId="62" numFmtId="164" pivotButton="0" quotePrefix="0" xfId="0">
      <alignment horizontal="center" vertical="center"/>
    </xf>
    <xf borderId="0" fillId="64" fontId="146" numFmtId="174" pivotButton="0" quotePrefix="0" xfId="0"/>
    <xf applyAlignment="1" borderId="0" fillId="63" fontId="143" numFmtId="174" pivotButton="0" quotePrefix="0" xfId="0">
      <alignment wrapText="1"/>
    </xf>
    <xf borderId="0" fillId="0" fontId="145" numFmtId="164" pivotButton="0" quotePrefix="0" xfId="0"/>
    <xf borderId="0" fillId="0" fontId="145" numFmtId="174" pivotButton="0" quotePrefix="0" xfId="0"/>
    <xf borderId="0" fillId="88" fontId="143" numFmtId="174" pivotButton="0" quotePrefix="0" xfId="0"/>
    <xf borderId="0" fillId="88" fontId="62" numFmtId="189" pivotButton="0" quotePrefix="0" xfId="50"/>
    <xf borderId="0" fillId="88" fontId="144" numFmtId="164" pivotButton="0" quotePrefix="0" xfId="0"/>
    <xf borderId="0" fillId="88" fontId="144" numFmtId="174" pivotButton="0" quotePrefix="0" xfId="0"/>
    <xf borderId="0" fillId="88" fontId="145" numFmtId="164" pivotButton="0" quotePrefix="0" xfId="0"/>
    <xf borderId="0" fillId="88" fontId="145" numFmtId="174" pivotButton="0" quotePrefix="0" xfId="0"/>
    <xf borderId="0" fillId="16" fontId="143" numFmtId="174" pivotButton="0" quotePrefix="0" xfId="0"/>
    <xf borderId="0" fillId="16" fontId="62" numFmtId="189" pivotButton="0" quotePrefix="0" xfId="50"/>
    <xf borderId="0" fillId="16" fontId="144" numFmtId="164" pivotButton="0" quotePrefix="0" xfId="0"/>
    <xf borderId="0" fillId="16" fontId="144" numFmtId="174" pivotButton="0" quotePrefix="0" xfId="0"/>
    <xf borderId="0" fillId="16" fontId="145" numFmtId="164" pivotButton="0" quotePrefix="0" xfId="0"/>
    <xf borderId="0" fillId="16" fontId="145" numFmtId="174" pivotButton="0" quotePrefix="0" xfId="0"/>
    <xf applyAlignment="1" borderId="185" fillId="13" fontId="10" numFmtId="164" pivotButton="0" quotePrefix="1" xfId="24">
      <alignment horizontal="center" vertical="center" wrapText="1"/>
    </xf>
    <xf borderId="0" fillId="0" fontId="8" numFmtId="164" pivotButton="0" quotePrefix="0" xfId="0"/>
    <xf borderId="0" fillId="0" fontId="25" numFmtId="169" pivotButton="0" quotePrefix="0" xfId="0"/>
    <xf borderId="0" fillId="0" fontId="2" numFmtId="164" pivotButton="0" quotePrefix="0" xfId="24"/>
    <xf borderId="0" fillId="0" fontId="13" numFmtId="164" pivotButton="0" quotePrefix="0" xfId="24"/>
    <xf borderId="0" fillId="0" fontId="11" numFmtId="175" pivotButton="0" quotePrefix="0" xfId="0"/>
    <xf borderId="0" fillId="0" fontId="11" numFmtId="169" pivotButton="0" quotePrefix="0" xfId="0"/>
    <xf borderId="200" fillId="40" fontId="65" numFmtId="164" pivotButton="0" quotePrefix="0" xfId="24"/>
    <xf borderId="182" fillId="40" fontId="2" numFmtId="164" pivotButton="0" quotePrefix="0" xfId="24"/>
    <xf borderId="188" fillId="40" fontId="64" numFmtId="164" pivotButton="0" quotePrefix="0" xfId="24"/>
    <xf applyAlignment="1" borderId="189" fillId="93" fontId="5" numFmtId="167" pivotButton="0" quotePrefix="0" xfId="15">
      <alignment horizontal="center"/>
    </xf>
    <xf applyAlignment="1" borderId="189" fillId="3" fontId="5" numFmtId="167" pivotButton="0" quotePrefix="0" xfId="15">
      <alignment horizontal="center"/>
    </xf>
    <xf borderId="0" fillId="3" fontId="2" numFmtId="164" pivotButton="0" quotePrefix="0" xfId="24"/>
    <xf applyAlignment="1" borderId="188" fillId="40" fontId="10" numFmtId="164" pivotButton="0" quotePrefix="0" xfId="24">
      <alignment horizontal="center"/>
    </xf>
    <xf applyAlignment="1" borderId="189" fillId="40" fontId="2" numFmtId="164" pivotButton="0" quotePrefix="0" xfId="24">
      <alignment horizontal="center"/>
    </xf>
    <xf applyAlignment="1" borderId="189" fillId="93" fontId="8" numFmtId="164" pivotButton="0" quotePrefix="0" xfId="39">
      <alignment horizontal="center" vertical="center"/>
    </xf>
    <xf applyAlignment="1" borderId="189" fillId="3" fontId="8" numFmtId="164" pivotButton="0" quotePrefix="0" xfId="39">
      <alignment horizontal="center" vertical="center"/>
    </xf>
    <xf applyAlignment="1" borderId="190" fillId="3" fontId="8" numFmtId="164" pivotButton="0" quotePrefix="0" xfId="39">
      <alignment horizontal="center" vertical="center"/>
    </xf>
    <xf borderId="49" fillId="28" fontId="10" numFmtId="164" pivotButton="0" quotePrefix="1" xfId="24"/>
    <xf borderId="49" fillId="28" fontId="8" numFmtId="164" pivotButton="0" quotePrefix="0" xfId="24"/>
    <xf borderId="7" fillId="28" fontId="8" numFmtId="164" pivotButton="0" quotePrefix="0" xfId="24"/>
    <xf borderId="49" fillId="28" fontId="23" numFmtId="164" pivotButton="0" quotePrefix="0" xfId="24"/>
    <xf borderId="48" fillId="28" fontId="11" numFmtId="164" pivotButton="0" quotePrefix="0" xfId="24"/>
    <xf borderId="4" fillId="29" fontId="24" numFmtId="164" pivotButton="0" quotePrefix="0" xfId="24"/>
    <xf applyAlignment="1" borderId="0" fillId="0" fontId="8" numFmtId="165" pivotButton="0" quotePrefix="0" xfId="43">
      <alignment horizontal="left"/>
    </xf>
    <xf borderId="49" fillId="28" fontId="5" numFmtId="164" pivotButton="0" quotePrefix="1" xfId="24"/>
    <xf borderId="5" fillId="28" fontId="8" numFmtId="164" pivotButton="0" quotePrefix="0" xfId="24"/>
    <xf borderId="4" fillId="28" fontId="8" numFmtId="164" pivotButton="0" quotePrefix="0" xfId="24"/>
    <xf borderId="49" fillId="28" fontId="10" numFmtId="164" pivotButton="0" quotePrefix="0" xfId="24"/>
    <xf borderId="188" fillId="28" fontId="8" numFmtId="164" pivotButton="0" quotePrefix="0" xfId="24"/>
    <xf borderId="190" fillId="28" fontId="8" numFmtId="164" pivotButton="0" quotePrefix="0" xfId="24"/>
    <xf applyAlignment="1" borderId="0" fillId="0" fontId="195" numFmtId="164" pivotButton="0" quotePrefix="0" xfId="0">
      <alignment horizontal="center" vertical="center"/>
    </xf>
    <xf applyAlignment="1" borderId="0" fillId="0" fontId="195" numFmtId="164" pivotButton="0" quotePrefix="0" xfId="0">
      <alignment horizontal="right" vertical="center"/>
    </xf>
    <xf applyAlignment="1" borderId="0" fillId="0" fontId="195" numFmtId="164" pivotButton="0" quotePrefix="0" xfId="0">
      <alignment horizontal="right" vertical="center" wrapText="1"/>
    </xf>
    <xf applyAlignment="1" borderId="0" fillId="0" fontId="195" numFmtId="174" pivotButton="0" quotePrefix="0" xfId="0">
      <alignment horizontal="right" vertical="center"/>
    </xf>
    <xf applyAlignment="1" borderId="0" fillId="0" fontId="195" numFmtId="174" pivotButton="0" quotePrefix="0" xfId="0">
      <alignment horizontal="right" vertical="center" wrapText="1"/>
    </xf>
    <xf borderId="200" fillId="28" fontId="8" numFmtId="164" pivotButton="0" quotePrefix="0" xfId="24"/>
    <xf borderId="184" fillId="28" fontId="8" numFmtId="164" pivotButton="0" quotePrefix="0" xfId="24"/>
    <xf borderId="48" fillId="28" fontId="8" numFmtId="164" pivotButton="0" quotePrefix="0" xfId="24"/>
    <xf applyAlignment="1" borderId="0" fillId="28" fontId="8" numFmtId="170" pivotButton="0" quotePrefix="0" xfId="39">
      <alignment vertical="center"/>
    </xf>
    <xf borderId="184" fillId="3" fontId="8" numFmtId="164" pivotButton="0" quotePrefix="0" xfId="24"/>
    <xf borderId="0" fillId="0" fontId="56" numFmtId="169" pivotButton="0" quotePrefix="0" xfId="0"/>
    <xf applyAlignment="1" borderId="0" fillId="0" fontId="195" numFmtId="164" pivotButton="0" quotePrefix="0" xfId="0">
      <alignment horizontal="left" vertical="center"/>
    </xf>
    <xf applyAlignment="1" borderId="0" fillId="0" fontId="196" numFmtId="164" pivotButton="0" quotePrefix="0" xfId="0">
      <alignment horizontal="left" vertical="center"/>
    </xf>
    <xf applyAlignment="1" borderId="0" fillId="0" fontId="196" numFmtId="174" pivotButton="0" quotePrefix="0" xfId="0">
      <alignment horizontal="right" vertical="center"/>
    </xf>
    <xf borderId="48" fillId="3" fontId="8" numFmtId="164" pivotButton="0" quotePrefix="0" xfId="24"/>
    <xf applyAlignment="1" borderId="0" fillId="0" fontId="197" numFmtId="169" pivotButton="0" quotePrefix="0" xfId="0">
      <alignment horizontal="center"/>
    </xf>
    <xf applyAlignment="1" borderId="0" fillId="0" fontId="198" numFmtId="164" pivotButton="0" quotePrefix="0" xfId="0">
      <alignment horizontal="center"/>
    </xf>
    <xf borderId="48" fillId="94" fontId="8" numFmtId="164" pivotButton="0" quotePrefix="0" xfId="24"/>
    <xf applyAlignment="1" borderId="0" fillId="0" fontId="8" numFmtId="164" pivotButton="0" quotePrefix="0" xfId="0">
      <alignment horizontal="left"/>
    </xf>
    <xf applyAlignment="1" borderId="0" fillId="0" fontId="198" numFmtId="165" pivotButton="0" quotePrefix="0" xfId="43">
      <alignment horizontal="center"/>
    </xf>
    <xf borderId="54" fillId="3" fontId="55" numFmtId="164" pivotButton="0" quotePrefix="0" xfId="24"/>
    <xf borderId="0" fillId="0" fontId="8" numFmtId="175" pivotButton="0" quotePrefix="0" xfId="43"/>
    <xf borderId="186" fillId="0" fontId="8" numFmtId="164" pivotButton="0" quotePrefix="0" xfId="24"/>
    <xf borderId="49" fillId="28" fontId="10" numFmtId="176" pivotButton="0" quotePrefix="0" xfId="24"/>
    <xf borderId="184" fillId="20" fontId="8" numFmtId="164" pivotButton="0" quotePrefix="0" xfId="24"/>
    <xf borderId="0" fillId="0" fontId="8" numFmtId="168" pivotButton="0" quotePrefix="0" xfId="0"/>
    <xf borderId="48" fillId="20" fontId="8" numFmtId="164" pivotButton="0" quotePrefix="0" xfId="24"/>
    <xf borderId="54" fillId="20" fontId="8" numFmtId="164" pivotButton="0" quotePrefix="0" xfId="24"/>
    <xf borderId="49" fillId="28" fontId="8" numFmtId="169" pivotButton="0" quotePrefix="0" xfId="24"/>
    <xf borderId="7" fillId="28" fontId="8" numFmtId="169" pivotButton="0" quotePrefix="0" xfId="24"/>
    <xf borderId="49" fillId="28" fontId="11" numFmtId="169" pivotButton="0" quotePrefix="0" xfId="24"/>
    <xf borderId="186" fillId="28" fontId="11" numFmtId="169" pivotButton="0" quotePrefix="0" xfId="24"/>
    <xf borderId="190" fillId="28" fontId="11" numFmtId="169" pivotButton="0" quotePrefix="0" xfId="24"/>
    <xf borderId="48" fillId="28" fontId="8" numFmtId="169" pivotButton="0" quotePrefix="0" xfId="24"/>
    <xf applyAlignment="1" borderId="188" fillId="28" fontId="8" numFmtId="169" pivotButton="0" quotePrefix="0" xfId="24">
      <alignment horizontal="left"/>
    </xf>
    <xf borderId="48" fillId="28" fontId="11" numFmtId="169" pivotButton="0" quotePrefix="0" xfId="24"/>
    <xf applyAlignment="1" borderId="196" fillId="28" fontId="11" numFmtId="169" pivotButton="0" quotePrefix="0" xfId="24">
      <alignment horizontal="left"/>
    </xf>
    <xf applyAlignment="1" borderId="49" fillId="28" fontId="11" numFmtId="169" pivotButton="0" quotePrefix="0" xfId="24">
      <alignment horizontal="left"/>
    </xf>
    <xf applyAlignment="1" borderId="0" fillId="28" fontId="11" numFmtId="169" pivotButton="0" quotePrefix="0" xfId="24">
      <alignment horizontal="left"/>
    </xf>
    <xf applyAlignment="1" borderId="7" fillId="0" fontId="8" numFmtId="169" pivotButton="0" quotePrefix="0" xfId="24">
      <alignment horizontal="center"/>
    </xf>
    <xf applyAlignment="1" borderId="5" fillId="28" fontId="11" numFmtId="169" pivotButton="0" quotePrefix="0" xfId="24">
      <alignment horizontal="left"/>
    </xf>
    <xf applyAlignment="1" borderId="3" fillId="28" fontId="11" numFmtId="169" pivotButton="0" quotePrefix="0" xfId="24">
      <alignment horizontal="left"/>
    </xf>
    <xf applyAlignment="1" borderId="4" fillId="0" fontId="8" numFmtId="169" pivotButton="0" quotePrefix="0" xfId="24">
      <alignment horizontal="center"/>
    </xf>
    <xf borderId="57" fillId="28" fontId="11" numFmtId="169" pivotButton="0" quotePrefix="0" xfId="24"/>
    <xf applyAlignment="1" borderId="23" fillId="28" fontId="11" numFmtId="169" pivotButton="0" quotePrefix="0" xfId="24">
      <alignment horizontal="left"/>
    </xf>
    <xf applyAlignment="1" borderId="30" fillId="28" fontId="11" numFmtId="169" pivotButton="0" quotePrefix="0" xfId="24">
      <alignment horizontal="left"/>
    </xf>
    <xf applyAlignment="1" borderId="31" fillId="28" fontId="11" numFmtId="169" pivotButton="0" quotePrefix="0" xfId="24">
      <alignment horizontal="center"/>
    </xf>
    <xf applyAlignment="1" borderId="49" fillId="28" fontId="10" numFmtId="164" pivotButton="0" quotePrefix="1" xfId="24">
      <alignment wrapText="1"/>
    </xf>
    <xf borderId="0" fillId="0" fontId="66" numFmtId="169" pivotButton="0" quotePrefix="0" xfId="0"/>
    <xf borderId="184" fillId="0" fontId="8" numFmtId="164" pivotButton="0" quotePrefix="0" xfId="24"/>
    <xf applyAlignment="1" borderId="0" fillId="0" fontId="11" numFmtId="169" pivotButton="0" quotePrefix="0" xfId="24">
      <alignment horizontal="center"/>
    </xf>
    <xf borderId="0" fillId="0" fontId="11" numFmtId="169" pivotButton="0" quotePrefix="0" xfId="43"/>
    <xf borderId="57" fillId="28" fontId="8" numFmtId="169" pivotButton="0" quotePrefix="0" xfId="24"/>
    <xf applyAlignment="1" borderId="49" fillId="26" fontId="10" numFmtId="164" pivotButton="0" quotePrefix="1" xfId="24">
      <alignment wrapText="1"/>
    </xf>
    <xf borderId="49" fillId="26" fontId="8" numFmtId="164" pivotButton="0" quotePrefix="0" xfId="24"/>
    <xf borderId="7" fillId="26" fontId="8" numFmtId="164" pivotButton="0" quotePrefix="0" xfId="24"/>
    <xf borderId="49" fillId="26" fontId="23" numFmtId="164" pivotButton="0" quotePrefix="0" xfId="24"/>
    <xf borderId="48" fillId="26" fontId="11" numFmtId="164" pivotButton="0" quotePrefix="0" xfId="24"/>
    <xf borderId="4" fillId="26" fontId="24" numFmtId="164" pivotButton="0" quotePrefix="0" xfId="24"/>
    <xf borderId="49" fillId="26" fontId="1" numFmtId="164" pivotButton="0" quotePrefix="1" xfId="24"/>
    <xf borderId="5" fillId="26" fontId="8" numFmtId="164" pivotButton="0" quotePrefix="0" xfId="24"/>
    <xf borderId="4" fillId="26" fontId="8" numFmtId="164" pivotButton="0" quotePrefix="0" xfId="24"/>
    <xf borderId="49" fillId="26" fontId="10" numFmtId="164" pivotButton="0" quotePrefix="1" xfId="24"/>
    <xf borderId="188" fillId="26" fontId="8" numFmtId="164" pivotButton="0" quotePrefix="0" xfId="24"/>
    <xf borderId="190" fillId="26" fontId="8" numFmtId="164" pivotButton="0" quotePrefix="0" xfId="24"/>
    <xf borderId="200" fillId="26" fontId="8" numFmtId="164" pivotButton="0" quotePrefix="0" xfId="24"/>
    <xf borderId="184" fillId="26" fontId="8" numFmtId="164" pivotButton="0" quotePrefix="0" xfId="24"/>
    <xf borderId="0" fillId="0" fontId="22" numFmtId="169" pivotButton="0" quotePrefix="0" xfId="0"/>
    <xf borderId="48" fillId="26" fontId="8" numFmtId="164" pivotButton="0" quotePrefix="0" xfId="24"/>
    <xf borderId="49" fillId="26" fontId="10" numFmtId="164" pivotButton="0" quotePrefix="0" xfId="24"/>
    <xf borderId="49" fillId="26" fontId="42" numFmtId="164" pivotButton="0" quotePrefix="0" xfId="24"/>
    <xf borderId="9" fillId="26" fontId="8" numFmtId="165" pivotButton="0" quotePrefix="0" xfId="43"/>
    <xf borderId="7" fillId="26" fontId="10" numFmtId="164" pivotButton="0" quotePrefix="0" xfId="24"/>
    <xf borderId="4" fillId="0" fontId="8" numFmtId="164" pivotButton="0" quotePrefix="0" xfId="24"/>
    <xf borderId="49" fillId="26" fontId="8" numFmtId="169" pivotButton="0" quotePrefix="0" xfId="24"/>
    <xf borderId="7" fillId="26" fontId="8" numFmtId="169" pivotButton="0" quotePrefix="0" xfId="24"/>
    <xf borderId="49" fillId="26" fontId="11" numFmtId="169" pivotButton="0" quotePrefix="0" xfId="24"/>
    <xf borderId="186" fillId="26" fontId="11" numFmtId="169" pivotButton="0" quotePrefix="0" xfId="24"/>
    <xf borderId="190" fillId="26" fontId="11" numFmtId="169" pivotButton="0" quotePrefix="0" xfId="24"/>
    <xf applyAlignment="1" borderId="188" fillId="26" fontId="8" numFmtId="169" pivotButton="0" quotePrefix="0" xfId="24">
      <alignment horizontal="left"/>
    </xf>
    <xf borderId="48" fillId="26" fontId="8" numFmtId="169" pivotButton="0" quotePrefix="0" xfId="24"/>
    <xf applyAlignment="1" borderId="196" fillId="26" fontId="11" numFmtId="169" pivotButton="0" quotePrefix="0" xfId="24">
      <alignment horizontal="left"/>
    </xf>
    <xf applyAlignment="1" borderId="49" fillId="26" fontId="8" numFmtId="169" pivotButton="0" quotePrefix="0" xfId="24">
      <alignment horizontal="left"/>
    </xf>
    <xf applyAlignment="1" borderId="0" fillId="26" fontId="8" numFmtId="169" pivotButton="0" quotePrefix="0" xfId="24">
      <alignment horizontal="left"/>
    </xf>
    <xf applyAlignment="1" borderId="5" fillId="26" fontId="8" numFmtId="169" pivotButton="0" quotePrefix="0" xfId="24">
      <alignment horizontal="left"/>
    </xf>
    <xf applyAlignment="1" borderId="3" fillId="26" fontId="8" numFmtId="169" pivotButton="0" quotePrefix="0" xfId="24">
      <alignment horizontal="left"/>
    </xf>
    <xf borderId="57" fillId="26" fontId="8" numFmtId="169" pivotButton="0" quotePrefix="0" xfId="24"/>
    <xf applyAlignment="1" borderId="23" fillId="26" fontId="11" numFmtId="169" pivotButton="0" quotePrefix="0" xfId="24">
      <alignment horizontal="left"/>
    </xf>
    <xf applyAlignment="1" borderId="30" fillId="26" fontId="11" numFmtId="169" pivotButton="0" quotePrefix="0" xfId="24">
      <alignment horizontal="left"/>
    </xf>
    <xf applyAlignment="1" borderId="31" fillId="26" fontId="11" numFmtId="169" pivotButton="0" quotePrefix="0" xfId="24">
      <alignment horizontal="center"/>
    </xf>
    <xf borderId="4" fillId="15" fontId="24" numFmtId="164" pivotButton="0" quotePrefix="0" xfId="24"/>
    <xf borderId="9" fillId="26" fontId="10" numFmtId="164" pivotButton="0" quotePrefix="0" xfId="24"/>
    <xf borderId="9" fillId="26" fontId="16" numFmtId="164" pivotButton="0" quotePrefix="0" xfId="24"/>
    <xf borderId="8" fillId="26" fontId="10" numFmtId="164" pivotButton="0" quotePrefix="0" xfId="24"/>
    <xf applyAlignment="1" borderId="49" fillId="0" fontId="8" numFmtId="169" pivotButton="0" quotePrefix="0" xfId="24">
      <alignment horizontal="left"/>
    </xf>
    <xf applyAlignment="1" borderId="0" fillId="0" fontId="8" numFmtId="169" pivotButton="0" quotePrefix="0" xfId="24">
      <alignment horizontal="left"/>
    </xf>
    <xf applyAlignment="1" borderId="5" fillId="0" fontId="8" numFmtId="169" pivotButton="0" quotePrefix="0" xfId="24">
      <alignment horizontal="left"/>
    </xf>
    <xf applyAlignment="1" borderId="3" fillId="0" fontId="8" numFmtId="169" pivotButton="0" quotePrefix="0" xfId="24">
      <alignment horizontal="left"/>
    </xf>
    <xf borderId="48" fillId="26" fontId="11" numFmtId="169" pivotButton="0" quotePrefix="0" xfId="24"/>
    <xf borderId="49" fillId="24" fontId="10" numFmtId="164" pivotButton="0" quotePrefix="1" xfId="24"/>
    <xf borderId="49" fillId="24" fontId="8" numFmtId="164" pivotButton="0" quotePrefix="0" xfId="24"/>
    <xf borderId="7" fillId="24" fontId="8" numFmtId="164" pivotButton="0" quotePrefix="0" xfId="24"/>
    <xf borderId="49" fillId="24" fontId="23" numFmtId="164" pivotButton="0" quotePrefix="0" xfId="24"/>
    <xf borderId="48" fillId="24" fontId="8" numFmtId="164" pivotButton="0" quotePrefix="0" xfId="24"/>
    <xf borderId="4" fillId="24" fontId="8" numFmtId="164" pivotButton="0" quotePrefix="0" xfId="24"/>
    <xf borderId="5" fillId="24" fontId="8" numFmtId="164" pivotButton="0" quotePrefix="0" xfId="24"/>
    <xf borderId="188" fillId="24" fontId="8" numFmtId="164" pivotButton="0" quotePrefix="0" xfId="24"/>
    <xf borderId="190" fillId="24" fontId="8" numFmtId="164" pivotButton="0" quotePrefix="0" xfId="24"/>
    <xf borderId="49" fillId="24" fontId="10" numFmtId="164" pivotButton="0" quotePrefix="0" xfId="24"/>
    <xf borderId="200" fillId="24" fontId="8" numFmtId="164" pivotButton="0" quotePrefix="0" xfId="24"/>
    <xf borderId="184" fillId="24" fontId="8" numFmtId="164" pivotButton="0" quotePrefix="0" xfId="24"/>
    <xf borderId="9" fillId="24" fontId="10" numFmtId="164" pivotButton="0" quotePrefix="0" xfId="24"/>
    <xf borderId="9" fillId="24" fontId="16" numFmtId="164" pivotButton="0" quotePrefix="0" xfId="24"/>
    <xf borderId="9" fillId="24" fontId="8" numFmtId="165" pivotButton="0" quotePrefix="0" xfId="43"/>
    <xf borderId="8" fillId="24" fontId="10" numFmtId="164" pivotButton="0" quotePrefix="0" xfId="24"/>
    <xf borderId="7" fillId="24" fontId="10" numFmtId="164" pivotButton="0" quotePrefix="0" xfId="24"/>
    <xf borderId="54" fillId="0" fontId="8" numFmtId="164" pivotButton="0" quotePrefix="0" xfId="24"/>
    <xf borderId="49" fillId="24" fontId="8" numFmtId="169" pivotButton="0" quotePrefix="0" xfId="24"/>
    <xf borderId="7" fillId="24" fontId="8" numFmtId="169" pivotButton="0" quotePrefix="0" xfId="24"/>
    <xf borderId="49" fillId="24" fontId="11" numFmtId="169" pivotButton="0" quotePrefix="0" xfId="24"/>
    <xf borderId="186" fillId="24" fontId="11" numFmtId="169" pivotButton="0" quotePrefix="0" xfId="24"/>
    <xf borderId="190" fillId="24" fontId="11" numFmtId="169" pivotButton="0" quotePrefix="0" xfId="24"/>
    <xf applyAlignment="1" borderId="188" fillId="24" fontId="8" numFmtId="169" pivotButton="0" quotePrefix="0" xfId="24">
      <alignment horizontal="left"/>
    </xf>
    <xf borderId="5" fillId="24" fontId="8" numFmtId="169" pivotButton="0" quotePrefix="0" xfId="24"/>
    <xf borderId="48" fillId="0" fontId="11" numFmtId="169" pivotButton="0" quotePrefix="0" xfId="24"/>
    <xf applyAlignment="1" borderId="49" fillId="24" fontId="10" numFmtId="164" pivotButton="0" quotePrefix="1" xfId="24">
      <alignment wrapText="1"/>
    </xf>
    <xf borderId="48" fillId="2" fontId="8" numFmtId="164" pivotButton="0" quotePrefix="0" xfId="24"/>
    <xf borderId="54" fillId="2" fontId="55" numFmtId="164" pivotButton="0" quotePrefix="0" xfId="24"/>
    <xf borderId="0" fillId="0" fontId="63" numFmtId="169" pivotButton="0" quotePrefix="0" xfId="0"/>
    <xf borderId="0" fillId="0" fontId="63" numFmtId="164" pivotButton="0" quotePrefix="0" xfId="0"/>
    <xf borderId="0" fillId="0" fontId="11" numFmtId="164" pivotButton="0" quotePrefix="0" xfId="0"/>
    <xf borderId="48" fillId="0" fontId="8" numFmtId="169" pivotButton="0" quotePrefix="0" xfId="24"/>
    <xf borderId="0" fillId="32" fontId="63" numFmtId="164" pivotButton="0" quotePrefix="0" xfId="0"/>
    <xf borderId="0" fillId="0" fontId="11" numFmtId="180" pivotButton="0" quotePrefix="0" xfId="0"/>
    <xf applyAlignment="1" borderId="0" fillId="26" fontId="8" numFmtId="164" pivotButton="0" quotePrefix="0" xfId="0">
      <alignment horizontal="center" vertical="center"/>
    </xf>
    <xf borderId="0" fillId="26" fontId="8" numFmtId="164" pivotButton="0" quotePrefix="0" xfId="0"/>
    <xf borderId="0" fillId="26" fontId="68" numFmtId="164" pivotButton="0" quotePrefix="0" xfId="0"/>
    <xf borderId="0" fillId="3" fontId="68" numFmtId="164" pivotButton="0" quotePrefix="0" xfId="0"/>
    <xf borderId="122" fillId="0" fontId="11" numFmtId="164" pivotButton="0" quotePrefix="0" xfId="0"/>
    <xf applyAlignment="1" borderId="0" fillId="49" fontId="8" numFmtId="164" pivotButton="0" quotePrefix="0" xfId="0">
      <alignment horizontal="center" vertical="center"/>
    </xf>
    <xf borderId="0" fillId="49" fontId="11" numFmtId="164" pivotButton="0" quotePrefix="0" xfId="0"/>
    <xf borderId="115" fillId="0" fontId="11" numFmtId="164" pivotButton="0" quotePrefix="0" xfId="0"/>
    <xf borderId="0" fillId="35" fontId="24" numFmtId="164" pivotButton="0" quotePrefix="0" xfId="0"/>
    <xf applyAlignment="1" borderId="0" fillId="0" fontId="117" numFmtId="164" pivotButton="0" quotePrefix="0" xfId="0">
      <alignment horizontal="center"/>
    </xf>
    <xf borderId="0" fillId="38" fontId="11" numFmtId="164" pivotButton="0" quotePrefix="0" xfId="0"/>
    <xf applyAlignment="1" borderId="186" fillId="3" fontId="19" numFmtId="164" pivotButton="0" quotePrefix="0" xfId="0">
      <alignment vertical="center"/>
    </xf>
    <xf applyAlignment="1" borderId="0" fillId="18" fontId="5" numFmtId="165" pivotButton="0" quotePrefix="0" xfId="43">
      <alignment vertical="center"/>
    </xf>
    <xf applyAlignment="1" borderId="0" fillId="18" fontId="20" numFmtId="165" pivotButton="0" quotePrefix="0" xfId="43">
      <alignment vertical="center"/>
    </xf>
    <xf applyAlignment="1" borderId="0" fillId="18" fontId="21" numFmtId="165" pivotButton="0" quotePrefix="0" xfId="43">
      <alignment vertical="center"/>
    </xf>
    <xf applyAlignment="1" borderId="0" fillId="0" fontId="31" numFmtId="165" pivotButton="0" quotePrefix="0" xfId="43">
      <alignment horizontal="left"/>
    </xf>
    <xf borderId="0" fillId="0" fontId="6" numFmtId="165" pivotButton="0" quotePrefix="0" xfId="43"/>
    <xf borderId="0" fillId="0" fontId="6" numFmtId="164" pivotButton="0" quotePrefix="0" xfId="0"/>
    <xf applyAlignment="1" borderId="5" fillId="53" fontId="37" numFmtId="164" pivotButton="0" quotePrefix="0" xfId="0">
      <alignment horizontal="left" vertical="center"/>
    </xf>
    <xf applyAlignment="1" borderId="0" fillId="53" fontId="17" numFmtId="165" pivotButton="0" quotePrefix="0" xfId="43">
      <alignment vertical="center"/>
    </xf>
    <xf applyAlignment="1" borderId="0" fillId="20" fontId="6" numFmtId="164" pivotButton="0" quotePrefix="0" xfId="0">
      <alignment horizontal="center" vertical="center"/>
    </xf>
    <xf borderId="0" fillId="20" fontId="5" numFmtId="164" pivotButton="0" quotePrefix="0" xfId="0"/>
    <xf borderId="0" fillId="20" fontId="5" numFmtId="175" pivotButton="0" quotePrefix="0" xfId="43"/>
    <xf borderId="0" fillId="20" fontId="5" numFmtId="165" pivotButton="0" quotePrefix="0" xfId="43"/>
    <xf applyAlignment="1" borderId="0" fillId="0" fontId="69" numFmtId="165" pivotButton="0" quotePrefix="0" xfId="43">
      <alignment vertical="center"/>
    </xf>
    <xf borderId="0" fillId="31" fontId="5" numFmtId="164" pivotButton="0" quotePrefix="0" xfId="0"/>
    <xf borderId="0" fillId="31" fontId="5" numFmtId="165" pivotButton="0" quotePrefix="0" xfId="43"/>
    <xf borderId="0" fillId="31" fontId="20" numFmtId="165" pivotButton="0" quotePrefix="0" xfId="43"/>
    <xf borderId="0" fillId="31" fontId="21" numFmtId="165" pivotButton="0" quotePrefix="0" xfId="43"/>
    <xf borderId="0" fillId="28" fontId="18" numFmtId="164" pivotButton="0" quotePrefix="0" xfId="0"/>
    <xf borderId="0" fillId="31" fontId="16" numFmtId="165" pivotButton="0" quotePrefix="0" xfId="43"/>
    <xf borderId="0" fillId="31" fontId="19" numFmtId="165" pivotButton="0" quotePrefix="0" xfId="43"/>
    <xf borderId="0" fillId="31" fontId="69" numFmtId="165" pivotButton="0" quotePrefix="0" xfId="43"/>
    <xf borderId="0" fillId="31" fontId="18" numFmtId="165" pivotButton="0" quotePrefix="0" xfId="43"/>
    <xf borderId="0" fillId="0" fontId="8" numFmtId="165" pivotButton="0" quotePrefix="0" xfId="43"/>
    <xf borderId="0" fillId="28" fontId="18" numFmtId="174" pivotButton="0" quotePrefix="0" xfId="0"/>
    <xf borderId="0" fillId="21" fontId="5" numFmtId="164" pivotButton="0" quotePrefix="0" xfId="0"/>
    <xf borderId="0" fillId="21" fontId="5" numFmtId="165" pivotButton="0" quotePrefix="0" xfId="43"/>
    <xf borderId="0" fillId="21" fontId="20" numFmtId="165" pivotButton="0" quotePrefix="0" xfId="43"/>
    <xf borderId="0" fillId="21" fontId="21" numFmtId="165" pivotButton="0" quotePrefix="0" xfId="43"/>
    <xf borderId="0" fillId="21" fontId="18" numFmtId="165" pivotButton="0" quotePrefix="0" xfId="43"/>
    <xf borderId="0" fillId="0" fontId="55" numFmtId="165" pivotButton="0" quotePrefix="0" xfId="0"/>
    <xf borderId="0" fillId="28" fontId="5" numFmtId="164" pivotButton="0" quotePrefix="0" xfId="0"/>
    <xf borderId="0" fillId="28" fontId="5" numFmtId="165" pivotButton="0" quotePrefix="0" xfId="43"/>
    <xf borderId="0" fillId="0" fontId="22" numFmtId="179" pivotButton="0" quotePrefix="0" xfId="0"/>
    <xf borderId="0" fillId="28" fontId="18" numFmtId="165" pivotButton="0" quotePrefix="0" xfId="43"/>
    <xf borderId="0" fillId="20" fontId="16" numFmtId="165" pivotButton="0" quotePrefix="0" xfId="43"/>
    <xf borderId="0" fillId="20" fontId="69" numFmtId="165" pivotButton="0" quotePrefix="0" xfId="43"/>
    <xf borderId="0" fillId="20" fontId="18" numFmtId="165" pivotButton="0" quotePrefix="0" xfId="43"/>
    <xf applyAlignment="1" borderId="0" fillId="0" fontId="1" numFmtId="164" pivotButton="0" quotePrefix="0" xfId="0">
      <alignment horizontal="right"/>
    </xf>
    <xf borderId="0" fillId="0" fontId="5" numFmtId="165" pivotButton="0" quotePrefix="0" xfId="43"/>
    <xf borderId="0" fillId="0" fontId="6" numFmtId="171" pivotButton="0" quotePrefix="0" xfId="0"/>
    <xf applyAlignment="1" borderId="0" fillId="26" fontId="5" numFmtId="164" pivotButton="0" quotePrefix="0" xfId="0">
      <alignment horizontal="right"/>
    </xf>
    <xf borderId="0" fillId="26" fontId="5" numFmtId="165" pivotButton="0" quotePrefix="0" xfId="43"/>
    <xf borderId="0" fillId="26" fontId="20" numFmtId="165" pivotButton="0" quotePrefix="0" xfId="43"/>
    <xf borderId="0" fillId="26" fontId="118" numFmtId="165" pivotButton="0" quotePrefix="0" xfId="43"/>
    <xf borderId="0" fillId="26" fontId="16" numFmtId="165" pivotButton="0" quotePrefix="0" xfId="43"/>
    <xf applyAlignment="1" borderId="0" fillId="51" fontId="5" numFmtId="164" pivotButton="0" quotePrefix="0" xfId="0">
      <alignment horizontal="right"/>
    </xf>
    <xf borderId="0" fillId="51" fontId="5" numFmtId="175" pivotButton="0" quotePrefix="0" xfId="43"/>
    <xf borderId="0" fillId="51" fontId="5" numFmtId="165" pivotButton="0" quotePrefix="0" xfId="43"/>
    <xf applyAlignment="1" borderId="202" fillId="0" fontId="44" numFmtId="164" pivotButton="0" quotePrefix="0" xfId="0">
      <alignment vertical="center"/>
    </xf>
    <xf applyAlignment="1" borderId="0" fillId="0" fontId="20" numFmtId="165" pivotButton="0" quotePrefix="0" xfId="43">
      <alignment vertical="center"/>
    </xf>
    <xf applyAlignment="1" borderId="203" fillId="52" fontId="17" numFmtId="164" pivotButton="0" quotePrefix="0" xfId="0">
      <alignment vertical="center"/>
    </xf>
    <xf borderId="0" fillId="0" fontId="71" numFmtId="165" pivotButton="0" quotePrefix="0" xfId="43"/>
    <xf borderId="0" fillId="0" fontId="205" numFmtId="165" pivotButton="0" quotePrefix="0" xfId="43"/>
    <xf borderId="0" fillId="0" fontId="72" numFmtId="165" pivotButton="0" quotePrefix="0" xfId="43"/>
    <xf borderId="0" fillId="0" fontId="209" numFmtId="165" pivotButton="0" quotePrefix="0" xfId="43"/>
    <xf borderId="0" fillId="3" fontId="72" numFmtId="165" pivotButton="0" quotePrefix="0" xfId="43"/>
    <xf borderId="0" fillId="52" fontId="112" numFmtId="165" pivotButton="0" quotePrefix="0" xfId="0"/>
    <xf applyAlignment="1" borderId="203" fillId="50" fontId="17" numFmtId="164" pivotButton="0" quotePrefix="0" xfId="0">
      <alignment vertical="center"/>
    </xf>
    <xf borderId="0" fillId="50" fontId="113" numFmtId="165" pivotButton="0" quotePrefix="0" xfId="43"/>
    <xf borderId="0" fillId="50" fontId="112" numFmtId="165" pivotButton="0" quotePrefix="0" xfId="0"/>
    <xf borderId="0" fillId="0" fontId="1" numFmtId="164" pivotButton="0" quotePrefix="0" xfId="0"/>
    <xf borderId="0" fillId="0" fontId="22" numFmtId="165" pivotButton="0" quotePrefix="0" xfId="43"/>
    <xf borderId="204" fillId="3" fontId="5" numFmtId="164" pivotButton="0" quotePrefix="0" xfId="24"/>
    <xf borderId="0" fillId="0" fontId="103" numFmtId="164" pivotButton="0" quotePrefix="0" xfId="0"/>
    <xf borderId="0" fillId="61" fontId="5" numFmtId="164" pivotButton="0" quotePrefix="0" xfId="0"/>
    <xf borderId="0" fillId="0" fontId="5" numFmtId="175" pivotButton="0" quotePrefix="0" xfId="43"/>
    <xf borderId="0" fillId="0" fontId="21" numFmtId="165" pivotButton="0" quotePrefix="0" xfId="43"/>
    <xf borderId="204" fillId="22" fontId="5" numFmtId="164" pivotButton="0" quotePrefix="0" xfId="24"/>
    <xf borderId="0" fillId="3" fontId="5" numFmtId="164" pivotButton="0" quotePrefix="0" xfId="0"/>
    <xf applyAlignment="1" borderId="202" fillId="0" fontId="44" numFmtId="164" pivotButton="0" quotePrefix="0" xfId="0">
      <alignment horizontal="center" vertical="center"/>
    </xf>
    <xf applyAlignment="1" borderId="186" fillId="32" fontId="19" numFmtId="164" pivotButton="0" quotePrefix="0" xfId="0">
      <alignment vertical="center"/>
    </xf>
    <xf borderId="0" fillId="0" fontId="56" numFmtId="165" pivotButton="0" quotePrefix="0" xfId="43"/>
    <xf borderId="0" fillId="0" fontId="200" numFmtId="165" pivotButton="0" quotePrefix="0" xfId="43"/>
    <xf borderId="0" fillId="0" fontId="201" numFmtId="165" pivotButton="0" quotePrefix="0" xfId="43"/>
    <xf borderId="0" fillId="3" fontId="56" numFmtId="165" pivotButton="0" quotePrefix="0" xfId="0"/>
    <xf borderId="0" fillId="0" fontId="56" numFmtId="165" pivotButton="0" quotePrefix="0" xfId="0"/>
    <xf applyAlignment="1" borderId="203" fillId="32" fontId="19" numFmtId="164" pivotButton="0" quotePrefix="0" xfId="0">
      <alignment vertical="center"/>
    </xf>
    <xf borderId="0" fillId="3" fontId="56" numFmtId="165" pivotButton="0" quotePrefix="0" xfId="43"/>
    <xf borderId="0" fillId="0" fontId="48" numFmtId="165" pivotButton="0" quotePrefix="0" xfId="43"/>
    <xf borderId="0" fillId="96" fontId="71" numFmtId="165" pivotButton="0" quotePrefix="0" xfId="43"/>
    <xf borderId="0" fillId="95" fontId="71" numFmtId="165" pivotButton="0" quotePrefix="0" xfId="43"/>
    <xf borderId="0" fillId="95" fontId="72" numFmtId="165" pivotButton="0" quotePrefix="0" xfId="43"/>
    <xf borderId="0" fillId="0" fontId="55" numFmtId="164" pivotButton="0" quotePrefix="0" xfId="24"/>
    <xf applyAlignment="1" borderId="0" fillId="24" fontId="22" numFmtId="164" pivotButton="0" quotePrefix="0" xfId="0">
      <alignment horizontal="center"/>
    </xf>
    <xf borderId="0" fillId="24" fontId="22" numFmtId="174" pivotButton="0" quotePrefix="0" xfId="0"/>
    <xf borderId="0" fillId="24" fontId="22" numFmtId="164" pivotButton="0" quotePrefix="0" xfId="0"/>
    <xf borderId="0" fillId="24" fontId="71" numFmtId="165" pivotButton="0" quotePrefix="0" xfId="43"/>
    <xf borderId="0" fillId="38" fontId="22" numFmtId="164" pivotButton="0" quotePrefix="0" xfId="0"/>
    <xf borderId="0" fillId="38" fontId="71" numFmtId="184" pivotButton="0" quotePrefix="0" xfId="43"/>
    <xf borderId="0" fillId="38" fontId="71" numFmtId="165" pivotButton="0" quotePrefix="0" xfId="43"/>
    <xf borderId="0" fillId="38" fontId="8" numFmtId="164" pivotButton="0" quotePrefix="0" xfId="0"/>
    <xf borderId="0" fillId="38" fontId="25" numFmtId="169" pivotButton="0" quotePrefix="0" xfId="0"/>
    <xf applyAlignment="1" borderId="0" fillId="38" fontId="22" numFmtId="174" pivotButton="0" quotePrefix="0" xfId="0">
      <alignment horizontal="left"/>
    </xf>
    <xf applyAlignment="1" borderId="0" fillId="0" fontId="22" numFmtId="164" pivotButton="0" quotePrefix="0" xfId="0">
      <alignment horizontal="right"/>
    </xf>
    <xf borderId="48" fillId="3" fontId="11" numFmtId="164" pivotButton="0" quotePrefix="0" xfId="24"/>
    <xf borderId="0" fillId="0" fontId="62" numFmtId="175" pivotButton="0" quotePrefix="0" xfId="43"/>
    <xf applyAlignment="1" borderId="0" fillId="0" fontId="22" numFmtId="164" pivotButton="0" quotePrefix="0" xfId="0">
      <alignment horizontal="left"/>
    </xf>
    <xf applyAlignment="1" borderId="0" fillId="7" fontId="53" numFmtId="164" pivotButton="0" quotePrefix="0" xfId="29">
      <alignment vertical="center"/>
    </xf>
    <xf applyAlignment="1" borderId="40" fillId="4" fontId="52" numFmtId="168" pivotButton="0" quotePrefix="0" xfId="29">
      <alignment horizontal="center" vertical="center"/>
    </xf>
    <xf applyAlignment="1" borderId="0" fillId="11" fontId="52" numFmtId="168" pivotButton="0" quotePrefix="0" xfId="29">
      <alignment horizontal="center" vertical="center"/>
    </xf>
    <xf applyAlignment="1" borderId="40" fillId="4" fontId="52" numFmtId="172" pivotButton="0" quotePrefix="0" xfId="29">
      <alignment horizontal="center" vertical="center"/>
    </xf>
    <xf applyAlignment="1" borderId="0" fillId="0" fontId="52" numFmtId="168" pivotButton="0" quotePrefix="0" xfId="29">
      <alignment horizontal="center" vertical="center"/>
    </xf>
    <xf applyAlignment="1" borderId="0" fillId="7" fontId="52" numFmtId="168" pivotButton="0" quotePrefix="0" xfId="29">
      <alignment horizontal="center" vertical="center"/>
    </xf>
    <xf applyAlignment="1" borderId="40" fillId="4" fontId="53" numFmtId="171" pivotButton="0" quotePrefix="0" xfId="29">
      <alignment horizontal="center" vertical="center" wrapText="1"/>
    </xf>
    <xf applyAlignment="1" borderId="0" fillId="11" fontId="53" numFmtId="171" pivotButton="0" quotePrefix="0" xfId="29">
      <alignment horizontal="center" vertical="center" wrapText="1"/>
    </xf>
    <xf applyAlignment="1" borderId="0" fillId="0" fontId="53" numFmtId="171" pivotButton="0" quotePrefix="0" xfId="29">
      <alignment horizontal="center" vertical="center" wrapText="1"/>
    </xf>
    <xf applyAlignment="1" borderId="0" fillId="7" fontId="53" numFmtId="171" pivotButton="0" quotePrefix="0" xfId="29">
      <alignment horizontal="center" vertical="center" wrapText="1"/>
    </xf>
    <xf borderId="40" fillId="4" fontId="53" numFmtId="172" pivotButton="0" quotePrefix="0" xfId="29"/>
    <xf borderId="0" fillId="11" fontId="53" numFmtId="172" pivotButton="0" quotePrefix="0" xfId="61"/>
    <xf borderId="0" fillId="0" fontId="53" numFmtId="172" pivotButton="0" quotePrefix="0" xfId="61"/>
    <xf borderId="0" fillId="7" fontId="53" numFmtId="172" pivotButton="0" quotePrefix="0" xfId="61"/>
    <xf borderId="22" fillId="4" fontId="53" numFmtId="172" pivotButton="0" quotePrefix="0" xfId="29"/>
    <xf borderId="40" fillId="3" fontId="53" numFmtId="172" pivotButton="0" quotePrefix="0" xfId="29"/>
    <xf borderId="0" fillId="3" fontId="53" numFmtId="172" pivotButton="0" quotePrefix="0" xfId="61"/>
    <xf borderId="22" fillId="3" fontId="53" numFmtId="172" pivotButton="0" quotePrefix="0" xfId="29"/>
    <xf borderId="0" fillId="3" fontId="0" numFmtId="164" pivotButton="0" quotePrefix="0" xfId="0"/>
    <xf borderId="40" fillId="4" fontId="53" numFmtId="190" pivotButton="0" quotePrefix="0" xfId="29"/>
    <xf borderId="164" fillId="4" fontId="53" numFmtId="172" pivotButton="0" quotePrefix="0" xfId="29"/>
    <xf borderId="40" fillId="4" fontId="53" numFmtId="191" pivotButton="0" quotePrefix="0" xfId="29"/>
    <xf borderId="0" fillId="0" fontId="0" numFmtId="164" pivotButton="0" quotePrefix="0" xfId="0"/>
    <xf borderId="22" fillId="4" fontId="53" numFmtId="172" pivotButton="0" quotePrefix="0" xfId="61"/>
    <xf borderId="40" fillId="4" fontId="53" numFmtId="172" pivotButton="0" quotePrefix="0" xfId="61"/>
    <xf applyAlignment="1" borderId="0" fillId="0" fontId="53" numFmtId="168" pivotButton="0" quotePrefix="0" xfId="29">
      <alignment vertical="center"/>
    </xf>
    <xf applyAlignment="1" borderId="40" fillId="4" fontId="52" numFmtId="165" pivotButton="0" quotePrefix="0" xfId="14">
      <alignment horizontal="center" vertical="center"/>
    </xf>
    <xf applyAlignment="1" borderId="0" fillId="11" fontId="52" numFmtId="165" pivotButton="0" quotePrefix="0" xfId="14">
      <alignment horizontal="center" vertical="center"/>
    </xf>
    <xf applyAlignment="1" borderId="40" fillId="4" fontId="53" numFmtId="165" pivotButton="0" quotePrefix="0" xfId="14">
      <alignment horizontal="center" vertical="center"/>
    </xf>
    <xf applyAlignment="1" borderId="0" fillId="0" fontId="52" numFmtId="165" pivotButton="0" quotePrefix="0" xfId="14">
      <alignment horizontal="center" vertical="center"/>
    </xf>
    <xf applyAlignment="1" borderId="0" fillId="7" fontId="52" numFmtId="165" pivotButton="0" quotePrefix="0" xfId="14">
      <alignment horizontal="center" vertical="center"/>
    </xf>
    <xf applyAlignment="1" borderId="0" fillId="0" fontId="53" numFmtId="165" pivotButton="0" quotePrefix="0" xfId="14">
      <alignment horizontal="center" vertical="center"/>
    </xf>
    <xf applyAlignment="1" borderId="40" fillId="4" fontId="53" numFmtId="173" pivotButton="0" quotePrefix="0" xfId="14">
      <alignment horizontal="center" vertical="center"/>
    </xf>
    <xf applyAlignment="1" borderId="44" fillId="0" fontId="52" numFmtId="165" pivotButton="0" quotePrefix="0" xfId="14">
      <alignment horizontal="center" vertical="center"/>
    </xf>
    <xf applyAlignment="1" borderId="44" fillId="0" fontId="53" numFmtId="165" pivotButton="0" quotePrefix="0" xfId="14">
      <alignment horizontal="center" vertical="center"/>
    </xf>
    <xf applyAlignment="1" borderId="44" fillId="0" fontId="53" numFmtId="174" pivotButton="0" quotePrefix="0" xfId="14">
      <alignment horizontal="center" vertical="center"/>
    </xf>
    <xf applyAlignment="1" borderId="0" fillId="0" fontId="52" numFmtId="174" pivotButton="0" quotePrefix="0" xfId="14">
      <alignment horizontal="center" vertical="center"/>
    </xf>
    <xf applyAlignment="1" borderId="0" fillId="0" fontId="53" numFmtId="174" pivotButton="0" quotePrefix="0" xfId="14">
      <alignment horizontal="center" vertical="center"/>
    </xf>
    <xf applyAlignment="1" borderId="40" fillId="58" fontId="52" numFmtId="168" pivotButton="0" quotePrefix="0" xfId="29">
      <alignment horizontal="center" vertical="center"/>
    </xf>
    <xf applyAlignment="1" borderId="0" fillId="58" fontId="52" numFmtId="168" pivotButton="0" quotePrefix="0" xfId="29">
      <alignment horizontal="center" vertical="center"/>
    </xf>
    <xf applyAlignment="1" borderId="40" fillId="58" fontId="52" numFmtId="172" pivotButton="0" quotePrefix="0" xfId="29">
      <alignment horizontal="center" vertical="center"/>
    </xf>
    <xf borderId="0" fillId="58" fontId="0" numFmtId="164" pivotButton="0" quotePrefix="0" xfId="0"/>
    <xf applyAlignment="1" borderId="40" fillId="58" fontId="53" numFmtId="171" pivotButton="0" quotePrefix="0" xfId="29">
      <alignment horizontal="center" vertical="center" wrapText="1"/>
    </xf>
    <xf applyAlignment="1" borderId="0" fillId="58" fontId="53" numFmtId="171" pivotButton="0" quotePrefix="0" xfId="29">
      <alignment horizontal="center" vertical="center" wrapText="1"/>
    </xf>
    <xf borderId="40" fillId="58" fontId="53" numFmtId="172" pivotButton="0" quotePrefix="0" xfId="29"/>
    <xf borderId="0" fillId="58" fontId="53" numFmtId="172" pivotButton="0" quotePrefix="0" xfId="61"/>
    <xf borderId="22" fillId="58" fontId="53" numFmtId="172" pivotButton="0" quotePrefix="0" xfId="29"/>
    <xf borderId="22" fillId="58" fontId="53" numFmtId="172" pivotButton="0" quotePrefix="0" xfId="61"/>
    <xf borderId="164" fillId="58" fontId="53" numFmtId="172" pivotButton="0" quotePrefix="0" xfId="29"/>
    <xf borderId="40" fillId="58" fontId="53" numFmtId="172" pivotButton="0" quotePrefix="0" xfId="61"/>
    <xf applyAlignment="1" borderId="40" fillId="58" fontId="52" numFmtId="165" pivotButton="0" quotePrefix="0" xfId="14">
      <alignment horizontal="center" vertical="center"/>
    </xf>
    <xf applyAlignment="1" borderId="0" fillId="58" fontId="52" numFmtId="165" pivotButton="0" quotePrefix="0" xfId="14">
      <alignment horizontal="center" vertical="center"/>
    </xf>
    <xf applyAlignment="1" borderId="40" fillId="58" fontId="53" numFmtId="165" pivotButton="0" quotePrefix="0" xfId="14">
      <alignment horizontal="center" vertical="center"/>
    </xf>
    <xf applyAlignment="1" borderId="0" fillId="58" fontId="53" numFmtId="168" pivotButton="0" quotePrefix="0" xfId="29">
      <alignment vertical="center"/>
    </xf>
    <xf applyAlignment="1" borderId="40" fillId="58" fontId="58" numFmtId="165" pivotButton="0" quotePrefix="0" xfId="14">
      <alignment horizontal="center" vertical="center"/>
    </xf>
    <xf applyAlignment="1" borderId="40" fillId="58" fontId="53" numFmtId="173" pivotButton="0" quotePrefix="0" xfId="14">
      <alignment horizontal="center" vertical="center"/>
    </xf>
    <xf applyAlignment="1" borderId="0" fillId="58" fontId="53" numFmtId="165" pivotButton="0" quotePrefix="0" xfId="14">
      <alignment horizontal="center" vertical="center"/>
    </xf>
    <xf applyAlignment="1" borderId="111" fillId="0" fontId="52" numFmtId="165" pivotButton="0" quotePrefix="0" xfId="14">
      <alignment horizontal="center" vertical="center"/>
    </xf>
    <xf applyAlignment="1" borderId="0" fillId="0" fontId="58" numFmtId="165" pivotButton="0" quotePrefix="0" xfId="14">
      <alignment horizontal="center" vertical="center"/>
    </xf>
    <xf applyAlignment="1" borderId="0" fillId="0" fontId="53" numFmtId="173" pivotButton="0" quotePrefix="0" xfId="14">
      <alignment horizontal="center" vertical="center"/>
    </xf>
    <xf applyAlignment="1" borderId="127" fillId="0" fontId="52" numFmtId="168" pivotButton="0" quotePrefix="0" xfId="29">
      <alignment horizontal="center" vertical="center"/>
    </xf>
    <xf applyAlignment="1" borderId="126" fillId="0" fontId="52" numFmtId="172" pivotButton="0" quotePrefix="0" xfId="29">
      <alignment horizontal="center" vertical="center"/>
    </xf>
    <xf borderId="0" fillId="0" fontId="3" numFmtId="164" pivotButton="0" quotePrefix="0" xfId="22"/>
    <xf applyAlignment="1" borderId="127" fillId="0" fontId="53" numFmtId="171" pivotButton="0" quotePrefix="0" xfId="29">
      <alignment horizontal="center" vertical="center" wrapText="1"/>
    </xf>
    <xf borderId="127" fillId="0" fontId="53" numFmtId="172" pivotButton="0" quotePrefix="0" xfId="29"/>
    <xf borderId="127" fillId="0" fontId="53" numFmtId="172" pivotButton="0" quotePrefix="0" xfId="274"/>
    <xf borderId="127" fillId="3" fontId="53" numFmtId="172" pivotButton="0" quotePrefix="0" xfId="29"/>
    <xf borderId="127" fillId="3" fontId="53" numFmtId="172" pivotButton="0" quotePrefix="0" xfId="274"/>
    <xf borderId="127" fillId="0" fontId="53" numFmtId="172" pivotButton="0" quotePrefix="0" xfId="61"/>
    <xf applyAlignment="1" borderId="0" fillId="0" fontId="53" numFmtId="171" pivotButton="0" quotePrefix="0" xfId="14">
      <alignment horizontal="center" vertical="center"/>
    </xf>
    <xf applyAlignment="1" borderId="127" fillId="0" fontId="52" numFmtId="165" pivotButton="0" quotePrefix="0" xfId="14">
      <alignment horizontal="center" vertical="center"/>
    </xf>
    <xf applyAlignment="1" borderId="127" fillId="0" fontId="53" numFmtId="165" pivotButton="0" quotePrefix="0" xfId="14">
      <alignment horizontal="center" vertical="center"/>
    </xf>
    <xf applyAlignment="1" borderId="127" fillId="0" fontId="53" numFmtId="173" pivotButton="0" quotePrefix="0" xfId="14">
      <alignment horizontal="center" vertical="center"/>
    </xf>
    <xf applyAlignment="1" borderId="187" fillId="0" fontId="52" numFmtId="165" pivotButton="0" quotePrefix="0" xfId="14">
      <alignment horizontal="center" vertical="center"/>
    </xf>
    <xf applyAlignment="1" borderId="153" fillId="0" fontId="52" numFmtId="165" pivotButton="0" quotePrefix="0" xfId="14">
      <alignment horizontal="center" vertical="center"/>
    </xf>
    <xf applyAlignment="1" borderId="0" fillId="0" fontId="53" numFmtId="174" pivotButton="0" quotePrefix="0" xfId="29">
      <alignment vertical="center"/>
    </xf>
    <xf applyAlignment="1" borderId="133" fillId="0" fontId="52" numFmtId="165" pivotButton="0" quotePrefix="0" xfId="14">
      <alignment horizontal="center" vertical="center"/>
    </xf>
    <xf applyAlignment="1" borderId="40" fillId="0" fontId="52" numFmtId="168" pivotButton="0" quotePrefix="0" xfId="29">
      <alignment horizontal="center" vertical="center"/>
    </xf>
    <xf applyAlignment="1" borderId="40" fillId="0" fontId="52" numFmtId="172" pivotButton="0" quotePrefix="0" xfId="29">
      <alignment horizontal="center" vertical="center"/>
    </xf>
    <xf applyAlignment="1" borderId="40" fillId="0" fontId="53" numFmtId="171" pivotButton="0" quotePrefix="0" xfId="29">
      <alignment horizontal="center" vertical="center" wrapText="1"/>
    </xf>
    <xf borderId="40" fillId="0" fontId="53" numFmtId="172" pivotButton="0" quotePrefix="0" xfId="29"/>
    <xf borderId="22" fillId="0" fontId="53" numFmtId="172" pivotButton="0" quotePrefix="0" xfId="29"/>
    <xf borderId="22" fillId="0" fontId="53" numFmtId="172" pivotButton="0" quotePrefix="0" xfId="61"/>
    <xf borderId="40" fillId="0" fontId="53" numFmtId="172" pivotButton="0" quotePrefix="0" xfId="61"/>
    <xf borderId="109" fillId="0" fontId="53" numFmtId="172" pivotButton="0" quotePrefix="0" xfId="61"/>
    <xf borderId="109" fillId="0" fontId="53" numFmtId="172" pivotButton="0" quotePrefix="0" xfId="29"/>
    <xf borderId="164" fillId="0" fontId="53" numFmtId="172" pivotButton="0" quotePrefix="0" xfId="61"/>
    <xf borderId="164" fillId="0" fontId="53" numFmtId="172" pivotButton="0" quotePrefix="0" xfId="29"/>
    <xf borderId="111" fillId="0" fontId="53" numFmtId="172" pivotButton="0" quotePrefix="0" xfId="61"/>
    <xf borderId="111" fillId="0" fontId="53" numFmtId="172" pivotButton="0" quotePrefix="0" xfId="29"/>
    <xf borderId="127" fillId="0" fontId="0" numFmtId="164" pivotButton="0" quotePrefix="0" xfId="0"/>
    <xf applyAlignment="1" borderId="127" fillId="0" fontId="53" numFmtId="168" pivotButton="0" quotePrefix="0" xfId="29">
      <alignment vertical="center"/>
    </xf>
    <xf borderId="127" fillId="0" fontId="53" numFmtId="190" pivotButton="0" quotePrefix="0" xfId="274"/>
    <xf applyAlignment="1" borderId="40" fillId="22" fontId="52" numFmtId="168" pivotButton="0" quotePrefix="0" xfId="29">
      <alignment horizontal="center" vertical="center"/>
    </xf>
    <xf applyAlignment="1" borderId="0" fillId="22" fontId="52" numFmtId="168" pivotButton="0" quotePrefix="0" xfId="29">
      <alignment horizontal="center" vertical="center"/>
    </xf>
    <xf applyAlignment="1" borderId="40" fillId="22" fontId="52" numFmtId="172" pivotButton="0" quotePrefix="0" xfId="29">
      <alignment horizontal="center" vertical="center"/>
    </xf>
    <xf borderId="0" fillId="22" fontId="0" numFmtId="164" pivotButton="0" quotePrefix="0" xfId="0"/>
    <xf applyAlignment="1" borderId="40" fillId="22" fontId="53" numFmtId="171" pivotButton="0" quotePrefix="0" xfId="29">
      <alignment horizontal="center" vertical="center" wrapText="1"/>
    </xf>
    <xf applyAlignment="1" borderId="0" fillId="22" fontId="53" numFmtId="171" pivotButton="0" quotePrefix="0" xfId="29">
      <alignment horizontal="center" vertical="center" wrapText="1"/>
    </xf>
    <xf borderId="40" fillId="22" fontId="53" numFmtId="172" pivotButton="0" quotePrefix="0" xfId="29"/>
    <xf borderId="0" fillId="22" fontId="53" numFmtId="172" pivotButton="0" quotePrefix="0" xfId="61"/>
    <xf borderId="22" fillId="22" fontId="53" numFmtId="172" pivotButton="0" quotePrefix="0" xfId="29"/>
    <xf borderId="22" fillId="22" fontId="53" numFmtId="172" pivotButton="0" quotePrefix="0" xfId="61"/>
    <xf borderId="40" fillId="22" fontId="53" numFmtId="172" pivotButton="0" quotePrefix="0" xfId="61"/>
    <xf borderId="164" fillId="22" fontId="53" numFmtId="172" pivotButton="0" quotePrefix="0" xfId="61"/>
    <xf borderId="164" fillId="22" fontId="53" numFmtId="172" pivotButton="0" quotePrefix="0" xfId="29"/>
    <xf applyAlignment="1" borderId="40" fillId="22" fontId="52" numFmtId="165" pivotButton="0" quotePrefix="0" xfId="14">
      <alignment horizontal="center" vertical="center"/>
    </xf>
    <xf applyAlignment="1" borderId="0" fillId="22" fontId="52" numFmtId="165" pivotButton="0" quotePrefix="0" xfId="14">
      <alignment horizontal="center" vertical="center"/>
    </xf>
    <xf applyAlignment="1" borderId="40" fillId="22" fontId="53" numFmtId="165" pivotButton="0" quotePrefix="0" xfId="14">
      <alignment horizontal="center" vertical="center"/>
    </xf>
    <xf applyAlignment="1" borderId="0" fillId="22" fontId="53" numFmtId="168" pivotButton="0" quotePrefix="0" xfId="29">
      <alignment vertical="center"/>
    </xf>
    <xf applyAlignment="1" borderId="40" fillId="22" fontId="53" numFmtId="173" pivotButton="0" quotePrefix="0" xfId="14">
      <alignment horizontal="center" vertical="center"/>
    </xf>
    <xf applyAlignment="1" borderId="0" fillId="22" fontId="53" numFmtId="165" pivotButton="0" quotePrefix="0" xfId="14">
      <alignment horizontal="center" vertical="center"/>
    </xf>
    <xf applyAlignment="1" borderId="40" fillId="16" fontId="52" numFmtId="168" pivotButton="0" quotePrefix="0" xfId="29">
      <alignment horizontal="center" vertical="center"/>
    </xf>
    <xf applyAlignment="1" borderId="127" fillId="16" fontId="52" numFmtId="168" pivotButton="0" quotePrefix="0" xfId="29">
      <alignment horizontal="center" vertical="center"/>
    </xf>
    <xf applyAlignment="1" borderId="127" fillId="16" fontId="52" numFmtId="172" pivotButton="0" quotePrefix="0" xfId="29">
      <alignment horizontal="center" vertical="center"/>
    </xf>
    <xf borderId="127" fillId="16" fontId="0" numFmtId="164" pivotButton="0" quotePrefix="0" xfId="0"/>
    <xf applyAlignment="1" borderId="127" fillId="16" fontId="53" numFmtId="171" pivotButton="0" quotePrefix="0" xfId="29">
      <alignment horizontal="center" vertical="center" wrapText="1"/>
    </xf>
    <xf borderId="127" fillId="16" fontId="53" numFmtId="172" pivotButton="0" quotePrefix="0" xfId="29"/>
    <xf borderId="127" fillId="16" fontId="53" numFmtId="172" pivotButton="0" quotePrefix="0" xfId="61"/>
    <xf borderId="54" fillId="16" fontId="53" numFmtId="172" pivotButton="0" quotePrefix="0" xfId="29"/>
    <xf borderId="0" fillId="16" fontId="53" numFmtId="172" pivotButton="0" quotePrefix="0" xfId="61"/>
    <xf borderId="0" fillId="16" fontId="0" numFmtId="164" pivotButton="0" quotePrefix="0" xfId="0"/>
    <xf borderId="40" fillId="16" fontId="53" numFmtId="172" pivotButton="0" quotePrefix="0" xfId="29"/>
    <xf borderId="22" fillId="16" fontId="53" numFmtId="172" pivotButton="0" quotePrefix="0" xfId="29"/>
    <xf applyAlignment="1" borderId="0" fillId="0" fontId="59" numFmtId="174" pivotButton="0" quotePrefix="0" xfId="29">
      <alignment horizontal="center" vertical="center"/>
    </xf>
    <xf borderId="22" fillId="16" fontId="53" numFmtId="172" pivotButton="0" quotePrefix="0" xfId="61"/>
    <xf borderId="40" fillId="16" fontId="53" numFmtId="172" pivotButton="0" quotePrefix="0" xfId="61"/>
    <xf applyAlignment="1" borderId="40" fillId="16" fontId="52" numFmtId="165" pivotButton="0" quotePrefix="0" xfId="14">
      <alignment horizontal="center" vertical="center"/>
    </xf>
    <xf applyAlignment="1" borderId="0" fillId="16" fontId="52" numFmtId="165" pivotButton="0" quotePrefix="0" xfId="14">
      <alignment horizontal="center" vertical="center"/>
    </xf>
    <xf applyAlignment="1" borderId="40" fillId="16" fontId="53" numFmtId="165" pivotButton="0" quotePrefix="0" xfId="14">
      <alignment horizontal="center" vertical="center"/>
    </xf>
    <xf applyAlignment="1" borderId="0" fillId="16" fontId="53" numFmtId="168" pivotButton="0" quotePrefix="0" xfId="29">
      <alignment vertical="center"/>
    </xf>
    <xf applyAlignment="1" borderId="40" fillId="16" fontId="53" numFmtId="173" pivotButton="0" quotePrefix="0" xfId="14">
      <alignment horizontal="center" vertical="center"/>
    </xf>
    <xf applyAlignment="1" borderId="0" fillId="16" fontId="53" numFmtId="165" pivotButton="0" quotePrefix="0" xfId="14">
      <alignment horizontal="center" vertical="center"/>
    </xf>
    <xf borderId="111" fillId="16" fontId="53" numFmtId="172" pivotButton="0" quotePrefix="0" xfId="61"/>
    <xf borderId="111" fillId="16" fontId="53" numFmtId="172" pivotButton="0" quotePrefix="0" xfId="29"/>
    <xf applyAlignment="1" borderId="127" fillId="16" fontId="52" numFmtId="165" pivotButton="0" quotePrefix="0" xfId="14">
      <alignment horizontal="center" vertical="center"/>
    </xf>
    <xf applyAlignment="1" borderId="127" fillId="16" fontId="53" numFmtId="165" pivotButton="0" quotePrefix="0" xfId="14">
      <alignment horizontal="center" vertical="center"/>
    </xf>
    <xf applyAlignment="1" borderId="127" fillId="16" fontId="53" numFmtId="168" pivotButton="0" quotePrefix="0" xfId="29">
      <alignment vertical="center"/>
    </xf>
    <xf applyAlignment="1" borderId="127" fillId="16" fontId="53" numFmtId="173" pivotButton="0" quotePrefix="0" xfId="14">
      <alignment horizontal="center" vertical="center"/>
    </xf>
    <xf applyAlignment="1" borderId="40" fillId="23" fontId="52" numFmtId="168" pivotButton="0" quotePrefix="0" xfId="29">
      <alignment horizontal="center" vertical="center"/>
    </xf>
    <xf applyAlignment="1" borderId="0" fillId="23" fontId="52" numFmtId="168" pivotButton="0" quotePrefix="0" xfId="29">
      <alignment horizontal="center" vertical="center"/>
    </xf>
    <xf applyAlignment="1" borderId="51" fillId="23" fontId="52" numFmtId="172" pivotButton="0" quotePrefix="0" xfId="29">
      <alignment horizontal="center" vertical="center"/>
    </xf>
    <xf borderId="0" fillId="23" fontId="0" numFmtId="164" pivotButton="0" quotePrefix="0" xfId="0"/>
    <xf applyAlignment="1" borderId="40" fillId="23" fontId="53" numFmtId="171" pivotButton="0" quotePrefix="0" xfId="29">
      <alignment horizontal="center" vertical="center" wrapText="1"/>
    </xf>
    <xf applyAlignment="1" borderId="0" fillId="23" fontId="53" numFmtId="171" pivotButton="0" quotePrefix="0" xfId="29">
      <alignment horizontal="center" vertical="center" wrapText="1"/>
    </xf>
    <xf borderId="40" fillId="23" fontId="53" numFmtId="172" pivotButton="0" quotePrefix="0" xfId="29"/>
    <xf borderId="0" fillId="23" fontId="53" numFmtId="172" pivotButton="0" quotePrefix="0" xfId="61"/>
    <xf borderId="40" fillId="23" fontId="58" numFmtId="172" pivotButton="0" quotePrefix="0" xfId="29"/>
    <xf borderId="0" fillId="23" fontId="58" numFmtId="172" pivotButton="0" quotePrefix="0" xfId="61"/>
    <xf borderId="22" fillId="23" fontId="58" numFmtId="172" pivotButton="0" quotePrefix="0" xfId="29"/>
    <xf borderId="22" fillId="23" fontId="53" numFmtId="172" pivotButton="0" quotePrefix="0" xfId="29"/>
    <xf borderId="22" fillId="3" fontId="58" numFmtId="172" pivotButton="0" quotePrefix="0" xfId="29"/>
    <xf applyAlignment="1" borderId="0" fillId="0" fontId="53" numFmtId="171" pivotButton="0" quotePrefix="0" xfId="29">
      <alignment vertical="center"/>
    </xf>
    <xf borderId="22" fillId="23" fontId="53" numFmtId="172" pivotButton="0" quotePrefix="0" xfId="61"/>
    <xf borderId="40" fillId="23" fontId="53" numFmtId="172" pivotButton="0" quotePrefix="0" xfId="61"/>
    <xf borderId="164" fillId="23" fontId="53" numFmtId="172" pivotButton="0" quotePrefix="0" xfId="61"/>
    <xf borderId="164" fillId="23" fontId="58" numFmtId="172" pivotButton="0" quotePrefix="0" xfId="29"/>
    <xf borderId="164" fillId="23" fontId="53" numFmtId="172" pivotButton="0" quotePrefix="0" xfId="29"/>
    <xf applyAlignment="1" borderId="40" fillId="23" fontId="52" numFmtId="165" pivotButton="0" quotePrefix="0" xfId="14">
      <alignment horizontal="center" vertical="center"/>
    </xf>
    <xf applyAlignment="1" borderId="0" fillId="23" fontId="52" numFmtId="165" pivotButton="0" quotePrefix="0" xfId="14">
      <alignment horizontal="center" vertical="center"/>
    </xf>
    <xf applyAlignment="1" borderId="40" fillId="23" fontId="53" numFmtId="165" pivotButton="0" quotePrefix="0" xfId="14">
      <alignment horizontal="center" vertical="center"/>
    </xf>
    <xf applyAlignment="1" borderId="0" fillId="23" fontId="59" numFmtId="165" pivotButton="0" quotePrefix="0" xfId="14">
      <alignment horizontal="center" vertical="center"/>
    </xf>
    <xf applyAlignment="1" borderId="0" fillId="23" fontId="53" numFmtId="168" pivotButton="0" quotePrefix="0" xfId="29">
      <alignment vertical="center"/>
    </xf>
    <xf applyAlignment="1" borderId="40" fillId="23" fontId="58" numFmtId="165" pivotButton="0" quotePrefix="0" xfId="14">
      <alignment horizontal="center" vertical="center"/>
    </xf>
    <xf applyAlignment="1" borderId="40" fillId="23" fontId="53" numFmtId="173" pivotButton="0" quotePrefix="0" xfId="14">
      <alignment horizontal="center" vertical="center"/>
    </xf>
    <xf applyAlignment="1" borderId="0" fillId="23" fontId="53" numFmtId="165" pivotButton="0" quotePrefix="0" xfId="14">
      <alignment horizontal="center" vertical="center"/>
    </xf>
    <xf applyAlignment="1" borderId="51" fillId="0" fontId="52" numFmtId="172" pivotButton="0" quotePrefix="0" xfId="29">
      <alignment horizontal="center" vertical="center"/>
    </xf>
    <xf borderId="40" fillId="0" fontId="58" numFmtId="172" pivotButton="0" quotePrefix="0" xfId="29"/>
    <xf borderId="0" fillId="0" fontId="58" numFmtId="172" pivotButton="0" quotePrefix="0" xfId="61"/>
    <xf borderId="22" fillId="0" fontId="58" numFmtId="172" pivotButton="0" quotePrefix="0" xfId="29"/>
    <xf borderId="40" fillId="65" fontId="53" numFmtId="172" pivotButton="0" quotePrefix="0" xfId="29"/>
    <xf borderId="0" fillId="65" fontId="53" numFmtId="172" pivotButton="0" quotePrefix="0" xfId="61"/>
    <xf borderId="22" fillId="65" fontId="58" numFmtId="172" pivotButton="0" quotePrefix="0" xfId="29"/>
    <xf borderId="22" fillId="65" fontId="53" numFmtId="172" pivotButton="0" quotePrefix="0" xfId="29"/>
    <xf borderId="164" fillId="0" fontId="58" numFmtId="172" pivotButton="0" quotePrefix="0" xfId="29"/>
    <xf applyAlignment="1" borderId="40" fillId="0" fontId="52" numFmtId="165" pivotButton="0" quotePrefix="0" xfId="14">
      <alignment horizontal="center" vertical="center"/>
    </xf>
    <xf applyAlignment="1" borderId="40" fillId="0" fontId="53" numFmtId="165" pivotButton="0" quotePrefix="0" xfId="14">
      <alignment horizontal="center" vertical="center"/>
    </xf>
    <xf applyAlignment="1" borderId="0" fillId="0" fontId="59" numFmtId="165" pivotButton="0" quotePrefix="0" xfId="14">
      <alignment horizontal="center" vertical="center"/>
    </xf>
    <xf applyAlignment="1" borderId="40" fillId="0" fontId="58" numFmtId="165" pivotButton="0" quotePrefix="0" xfId="14">
      <alignment horizontal="center" vertical="center"/>
    </xf>
    <xf applyAlignment="1" borderId="40" fillId="0" fontId="53" numFmtId="173" pivotButton="0" quotePrefix="0" xfId="14">
      <alignment horizontal="center" vertical="center"/>
    </xf>
    <xf applyAlignment="1" borderId="40" fillId="57" fontId="52" numFmtId="168" pivotButton="0" quotePrefix="0" xfId="29">
      <alignment horizontal="center" vertical="center"/>
    </xf>
    <xf applyAlignment="1" borderId="0" fillId="57" fontId="52" numFmtId="168" pivotButton="0" quotePrefix="0" xfId="29">
      <alignment horizontal="center" vertical="center"/>
    </xf>
    <xf applyAlignment="1" borderId="40" fillId="57" fontId="52" numFmtId="172" pivotButton="0" quotePrefix="0" xfId="29">
      <alignment horizontal="center" vertical="center"/>
    </xf>
    <xf borderId="0" fillId="57" fontId="0" numFmtId="164" pivotButton="0" quotePrefix="0" xfId="0"/>
    <xf applyAlignment="1" borderId="40" fillId="57" fontId="53" numFmtId="171" pivotButton="0" quotePrefix="0" xfId="29">
      <alignment horizontal="center" vertical="center" wrapText="1"/>
    </xf>
    <xf applyAlignment="1" borderId="0" fillId="57" fontId="53" numFmtId="171" pivotButton="0" quotePrefix="0" xfId="29">
      <alignment horizontal="center" vertical="center" wrapText="1"/>
    </xf>
    <xf borderId="40" fillId="57" fontId="53" numFmtId="172" pivotButton="0" quotePrefix="0" xfId="29"/>
    <xf borderId="0" fillId="57" fontId="53" numFmtId="172" pivotButton="0" quotePrefix="0" xfId="61"/>
    <xf borderId="22" fillId="57" fontId="53" numFmtId="172" pivotButton="0" quotePrefix="0" xfId="29"/>
    <xf borderId="22" fillId="57" fontId="53" numFmtId="172" pivotButton="0" quotePrefix="0" xfId="61"/>
    <xf borderId="40" fillId="57" fontId="53" numFmtId="172" pivotButton="0" quotePrefix="0" xfId="61"/>
    <xf borderId="127" fillId="57" fontId="53" numFmtId="172" pivotButton="0" quotePrefix="0" xfId="61"/>
    <xf borderId="127" fillId="57" fontId="53" numFmtId="172" pivotButton="0" quotePrefix="0" xfId="29"/>
    <xf applyAlignment="1" borderId="40" fillId="57" fontId="52" numFmtId="165" pivotButton="0" quotePrefix="0" xfId="14">
      <alignment horizontal="center" vertical="center"/>
    </xf>
    <xf applyAlignment="1" borderId="0" fillId="57" fontId="52" numFmtId="165" pivotButton="0" quotePrefix="0" xfId="14">
      <alignment horizontal="center" vertical="center"/>
    </xf>
    <xf applyAlignment="1" borderId="40" fillId="57" fontId="53" numFmtId="165" pivotButton="0" quotePrefix="0" xfId="14">
      <alignment horizontal="center" vertical="center"/>
    </xf>
    <xf applyAlignment="1" borderId="0" fillId="57" fontId="53" numFmtId="168" pivotButton="0" quotePrefix="0" xfId="29">
      <alignment vertical="center"/>
    </xf>
    <xf applyAlignment="1" borderId="40" fillId="57" fontId="53" numFmtId="173" pivotButton="0" quotePrefix="0" xfId="14">
      <alignment horizontal="center" vertical="center"/>
    </xf>
    <xf applyAlignment="1" borderId="0" fillId="57" fontId="53" numFmtId="165" pivotButton="0" quotePrefix="0" xfId="14">
      <alignment horizontal="center" vertical="center"/>
    </xf>
    <xf applyAlignment="1" applyProtection="1" borderId="164" fillId="90" fontId="185" numFmtId="174" pivotButton="0" quotePrefix="0" xfId="0">
      <alignment horizontal="center" vertical="center" wrapText="1"/>
      <protection hidden="0" locked="0"/>
    </xf>
    <xf applyAlignment="1" borderId="174" fillId="0" fontId="186" numFmtId="164" pivotButton="0" quotePrefix="0" xfId="0">
      <alignment vertical="center"/>
    </xf>
    <xf applyAlignment="1" borderId="175" fillId="0" fontId="186" numFmtId="164" pivotButton="0" quotePrefix="0" xfId="0">
      <alignment vertical="center"/>
    </xf>
    <xf applyAlignment="1" applyProtection="1" borderId="178" fillId="0" fontId="188" numFmtId="174" pivotButton="0" quotePrefix="0" xfId="0">
      <alignment horizontal="left" vertical="center" wrapText="1"/>
      <protection hidden="0" locked="0"/>
    </xf>
    <xf applyAlignment="1" applyProtection="1" borderId="178" fillId="0" fontId="188" numFmtId="174" pivotButton="0" quotePrefix="0" xfId="0">
      <alignment horizontal="center" vertical="center" wrapText="1"/>
      <protection hidden="0" locked="0"/>
    </xf>
    <xf applyAlignment="1" applyProtection="1" borderId="178" fillId="2" fontId="188" numFmtId="174" pivotButton="0" quotePrefix="0" xfId="0">
      <alignment horizontal="center" vertical="center" wrapText="1"/>
      <protection hidden="0" locked="0"/>
    </xf>
    <xf applyAlignment="1" borderId="164" fillId="0" fontId="189" numFmtId="164" pivotButton="0" quotePrefix="0" xfId="0">
      <alignment horizontal="left" vertical="center"/>
    </xf>
    <xf borderId="203" fillId="0" fontId="0" numFmtId="177" pivotButton="0" quotePrefix="0" xfId="0"/>
    <xf borderId="203" fillId="65" fontId="0" numFmtId="174" pivotButton="0" quotePrefix="0" xfId="0"/>
    <xf borderId="164" fillId="2" fontId="0" numFmtId="174" pivotButton="0" quotePrefix="0" xfId="0"/>
    <xf borderId="164" fillId="64" fontId="0" numFmtId="174" pivotButton="0" quotePrefix="0" xfId="0"/>
    <xf applyAlignment="1" applyProtection="1" borderId="178" fillId="2" fontId="189" numFmtId="174" pivotButton="0" quotePrefix="0" xfId="0">
      <alignment horizontal="left" vertical="center" wrapText="1"/>
      <protection hidden="0" locked="0"/>
    </xf>
    <xf borderId="203" fillId="0" fontId="0" numFmtId="174" pivotButton="0" quotePrefix="0" xfId="0"/>
    <xf borderId="203" fillId="65" fontId="204" numFmtId="174" pivotButton="0" quotePrefix="0" xfId="0"/>
    <xf borderId="164" fillId="2" fontId="191" numFmtId="174" pivotButton="0" quotePrefix="0" xfId="0"/>
    <xf borderId="0" fillId="0" fontId="0" numFmtId="171" pivotButton="0" quotePrefix="0" xfId="0"/>
    <xf applyAlignment="1" applyProtection="1" borderId="164" fillId="0" fontId="188" numFmtId="174" pivotButton="0" quotePrefix="0" xfId="0">
      <alignment horizontal="left" vertical="center" wrapText="1"/>
      <protection hidden="0" locked="0"/>
    </xf>
    <xf applyAlignment="1" applyProtection="1" borderId="164" fillId="0" fontId="188" numFmtId="174" pivotButton="0" quotePrefix="0" xfId="0">
      <alignment horizontal="center" vertical="center" wrapText="1"/>
      <protection hidden="0" locked="0"/>
    </xf>
    <xf applyAlignment="1" applyProtection="1" borderId="164" fillId="2" fontId="188" numFmtId="174" pivotButton="0" quotePrefix="0" xfId="0">
      <alignment horizontal="center" vertical="center" wrapText="1"/>
      <protection hidden="0" locked="0"/>
    </xf>
    <xf applyAlignment="1" borderId="176" fillId="0" fontId="190" numFmtId="164" pivotButton="0" quotePrefix="0" xfId="0">
      <alignment vertical="center"/>
    </xf>
    <xf applyAlignment="1" borderId="68" fillId="0" fontId="190" numFmtId="174" pivotButton="0" quotePrefix="0" xfId="0">
      <alignment horizontal="right" vertical="center"/>
    </xf>
    <xf applyAlignment="1" applyProtection="1" borderId="164" fillId="0" fontId="189" numFmtId="174" pivotButton="0" quotePrefix="0" xfId="0">
      <alignment horizontal="left" vertical="center" wrapText="1"/>
      <protection hidden="0" locked="0"/>
    </xf>
    <xf borderId="203" fillId="3" fontId="203" numFmtId="174" pivotButton="0" quotePrefix="0" xfId="0"/>
    <xf borderId="164" fillId="3" fontId="194" numFmtId="174" pivotButton="0" quotePrefix="0" xfId="0"/>
    <xf applyAlignment="1" applyProtection="1" borderId="164" fillId="2" fontId="189" numFmtId="174" pivotButton="0" quotePrefix="0" xfId="0">
      <alignment horizontal="left" vertical="center" wrapText="1"/>
      <protection hidden="0" locked="0"/>
    </xf>
    <xf applyAlignment="1" applyProtection="1" borderId="164" fillId="2" fontId="189" numFmtId="174" pivotButton="0" quotePrefix="0" xfId="0">
      <alignment horizontal="center" vertical="center" wrapText="1"/>
      <protection hidden="0" locked="0"/>
    </xf>
    <xf applyAlignment="1" borderId="68" fillId="0" fontId="190" numFmtId="171" pivotButton="0" quotePrefix="0" xfId="0">
      <alignment horizontal="right" vertical="center"/>
    </xf>
    <xf applyAlignment="1" borderId="178" fillId="0" fontId="189" numFmtId="164" pivotButton="0" quotePrefix="0" xfId="0">
      <alignment horizontal="left" vertical="center"/>
    </xf>
    <xf borderId="178" fillId="64" fontId="0" numFmtId="174" pivotButton="0" quotePrefix="0" xfId="0"/>
    <xf borderId="178" fillId="2" fontId="0" numFmtId="174" pivotButton="0" quotePrefix="0" xfId="0"/>
    <xf applyAlignment="1" applyProtection="1" borderId="178" fillId="2" fontId="189" numFmtId="174" pivotButton="0" quotePrefix="0" xfId="0">
      <alignment horizontal="center" vertical="center" wrapText="1"/>
      <protection hidden="0" locked="0"/>
    </xf>
    <xf applyAlignment="1" borderId="178" fillId="64" fontId="189" numFmtId="174" pivotButton="0" quotePrefix="0" xfId="0">
      <alignment horizontal="center" vertical="center"/>
    </xf>
    <xf borderId="0" fillId="0" fontId="0" numFmtId="174" pivotButton="0" quotePrefix="0" xfId="0"/>
    <xf applyAlignment="1" applyProtection="1" borderId="172" fillId="2" fontId="189" numFmtId="174" pivotButton="0" quotePrefix="0" xfId="0">
      <alignment horizontal="left" vertical="center" wrapText="1"/>
      <protection hidden="0" locked="0"/>
    </xf>
    <xf applyAlignment="1" applyProtection="1" borderId="129" fillId="91" fontId="188" numFmtId="174" pivotButton="0" quotePrefix="0" xfId="0">
      <alignment horizontal="center" vertical="center" wrapText="1"/>
      <protection hidden="0" locked="0"/>
    </xf>
    <xf applyAlignment="1" borderId="178" fillId="91" fontId="189" numFmtId="174" pivotButton="0" quotePrefix="0" xfId="0">
      <alignment horizontal="center" vertical="center"/>
    </xf>
    <xf applyAlignment="1" borderId="0" fillId="0" fontId="192" numFmtId="174" pivotButton="0" quotePrefix="0" xfId="0">
      <alignment horizontal="right"/>
    </xf>
    <xf borderId="186" fillId="0" fontId="5" numFmtId="177" pivotButton="0" quotePrefix="0" xfId="579"/>
    <xf borderId="186" fillId="65" fontId="5" numFmtId="174" pivotButton="0" quotePrefix="0" xfId="579"/>
    <xf borderId="186" fillId="0" fontId="5" numFmtId="174" pivotButton="0" quotePrefix="0" xfId="579"/>
    <xf borderId="186" fillId="65" fontId="204" numFmtId="174" pivotButton="0" quotePrefix="0" xfId="579"/>
    <xf applyAlignment="1" applyProtection="1" borderId="186" fillId="0" fontId="188" numFmtId="174" pivotButton="0" quotePrefix="0" xfId="0">
      <alignment horizontal="center" vertical="center" wrapText="1"/>
      <protection hidden="0" locked="0"/>
    </xf>
    <xf borderId="40" fillId="0" fontId="0" numFmtId="164" pivotButton="0" quotePrefix="0" xfId="0"/>
    <xf applyAlignment="1" borderId="112" fillId="0" fontId="0" numFmtId="164" pivotButton="0" quotePrefix="0" xfId="0">
      <alignment horizontal="center"/>
    </xf>
    <xf applyAlignment="1" borderId="40" fillId="0" fontId="0" numFmtId="164" pivotButton="0" quotePrefix="0" xfId="0">
      <alignment horizontal="left" vertical="center"/>
    </xf>
    <xf applyAlignment="1" borderId="112" fillId="0" fontId="0" numFmtId="164" pivotButton="0" quotePrefix="0" xfId="0">
      <alignment horizontal="left"/>
    </xf>
    <xf applyAlignment="1" borderId="40" fillId="0" fontId="0" numFmtId="164" pivotButton="0" quotePrefix="0" xfId="0">
      <alignment horizontal="left" vertical="center" wrapText="1"/>
    </xf>
    <xf applyAlignment="1" borderId="40" fillId="0" fontId="0" numFmtId="164" pivotButton="0" quotePrefix="0" xfId="0">
      <alignment horizontal="left"/>
    </xf>
    <xf applyAlignment="1" borderId="112" fillId="0" fontId="0" numFmtId="164" pivotButton="0" quotePrefix="0" xfId="0">
      <alignment horizontal="left" wrapText="1"/>
    </xf>
    <xf applyAlignment="1" borderId="109" fillId="0" fontId="0" numFmtId="164" pivotButton="0" quotePrefix="0" xfId="0">
      <alignment horizontal="left"/>
    </xf>
    <xf applyAlignment="1" borderId="0" fillId="0" fontId="0" numFmtId="164" pivotButton="0" quotePrefix="0" xfId="0">
      <alignment horizontal="center"/>
    </xf>
    <xf applyAlignment="1" borderId="0" fillId="0" fontId="0" numFmtId="164" pivotButton="0" quotePrefix="0" xfId="0">
      <alignment wrapText="1"/>
    </xf>
    <xf borderId="0" fillId="0" fontId="0" numFmtId="176" pivotButton="0" quotePrefix="0" xfId="0"/>
    <xf borderId="0" fillId="0" fontId="0" numFmtId="181" pivotButton="0" quotePrefix="0" xfId="0"/>
    <xf borderId="0" fillId="0" fontId="0" numFmtId="188" pivotButton="0" quotePrefix="0" xfId="0"/>
    <xf applyAlignment="1" borderId="127" fillId="0" fontId="0" numFmtId="171" pivotButton="0" quotePrefix="0" xfId="0">
      <alignment horizontal="center"/>
    </xf>
    <xf applyAlignment="1" borderId="127" fillId="28" fontId="136" numFmtId="171" pivotButton="0" quotePrefix="0" xfId="0">
      <alignment horizontal="center"/>
    </xf>
    <xf applyAlignment="1" borderId="127" fillId="3" fontId="136" numFmtId="171" pivotButton="0" quotePrefix="0" xfId="0">
      <alignment horizontal="center"/>
    </xf>
    <xf applyAlignment="1" borderId="127" fillId="60" fontId="136" numFmtId="171" pivotButton="0" quotePrefix="0" xfId="0">
      <alignment horizontal="center"/>
    </xf>
    <xf borderId="127" fillId="28" fontId="136" numFmtId="171" pivotButton="0" quotePrefix="0" xfId="0"/>
    <xf applyAlignment="1" borderId="0" fillId="0" fontId="0" numFmtId="171" pivotButton="0" quotePrefix="0" xfId="0">
      <alignment horizontal="center"/>
    </xf>
    <xf applyAlignment="1" borderId="127" fillId="0" fontId="136" numFmtId="164" pivotButton="0" quotePrefix="0" xfId="0">
      <alignment horizontal="center"/>
    </xf>
    <xf applyAlignment="1" borderId="127" fillId="28" fontId="0" numFmtId="174" pivotButton="0" quotePrefix="0" xfId="0">
      <alignment horizontal="center"/>
    </xf>
    <xf applyAlignment="1" borderId="127" fillId="3" fontId="0" numFmtId="174" pivotButton="0" quotePrefix="0" xfId="0">
      <alignment horizontal="center"/>
    </xf>
    <xf applyAlignment="1" borderId="127" fillId="60" fontId="0" numFmtId="174" pivotButton="0" quotePrefix="0" xfId="0">
      <alignment horizontal="center"/>
    </xf>
    <xf applyAlignment="1" borderId="118" fillId="0" fontId="44" numFmtId="164" pivotButton="0" quotePrefix="0" xfId="0">
      <alignment horizontal="left" vertical="center" wrapText="1"/>
    </xf>
    <xf applyAlignment="1" borderId="118" fillId="0" fontId="44" numFmtId="174" pivotButton="0" quotePrefix="0" xfId="0">
      <alignment horizontal="right" vertical="center"/>
    </xf>
    <xf applyAlignment="1" borderId="118" fillId="0" fontId="128" numFmtId="174" pivotButton="0" quotePrefix="0" xfId="0">
      <alignment horizontal="right" vertical="center"/>
    </xf>
    <xf applyAlignment="1" borderId="48" fillId="0" fontId="44" numFmtId="164" pivotButton="0" quotePrefix="0" xfId="0">
      <alignment horizontal="left" vertical="center" wrapText="1"/>
    </xf>
  </cellXfs>
  <cellStyles count="599">
    <cellStyle builtinId="0" name="常规" xfId="0"/>
    <cellStyle name="Comma 2" xfId="1"/>
    <cellStyle name="Normal 2" xfId="2"/>
    <cellStyle name="Normal 3" xfId="3"/>
    <cellStyle name="Percent 2" xfId="4"/>
    <cellStyle name="Style 1" xfId="5"/>
    <cellStyle name="スタイル 1" xfId="6"/>
    <cellStyle name="Normal 4" xfId="7"/>
    <cellStyle name="Comma 3" xfId="8"/>
    <cellStyle name="Comma 2 2" xfId="9"/>
    <cellStyle name="常规 6" xfId="10"/>
    <cellStyle name="Normal 3 2 3 2" xfId="11"/>
    <cellStyle name="常规 9" xfId="12"/>
    <cellStyle name="常规 13" xfId="13"/>
    <cellStyle name="千位分隔 2" xfId="14"/>
    <cellStyle name="Comma_FY09-Cost&amp;Rev-1212412163-OBReportV3" xfId="15"/>
    <cellStyle name="百分比 2" xfId="16"/>
    <cellStyle name="百分比 2 2" xfId="17"/>
    <cellStyle name="常规 10" xfId="18"/>
    <cellStyle name="常规 11" xfId="19"/>
    <cellStyle name="常规 12" xfId="20"/>
    <cellStyle name="常规 14" xfId="21"/>
    <cellStyle name="常规 2" xfId="22"/>
    <cellStyle name="常规 2 2" xfId="23"/>
    <cellStyle name="常规 3" xfId="24"/>
    <cellStyle name="常规 3 2" xfId="25"/>
    <cellStyle name="常规 4" xfId="26"/>
    <cellStyle name="常规 4 2" xfId="27"/>
    <cellStyle name="常规 5" xfId="28"/>
    <cellStyle name="常规 7" xfId="29"/>
    <cellStyle name="常规 8" xfId="30"/>
    <cellStyle name="千位分隔 2 2" xfId="31"/>
    <cellStyle name="千位分隔 3" xfId="32"/>
    <cellStyle name="千位分隔 4" xfId="33"/>
    <cellStyle name="千位分隔 5" xfId="34"/>
    <cellStyle name="千位分隔 6" xfId="35"/>
    <cellStyle name="千位分隔 7" xfId="36"/>
    <cellStyle name="千位分隔 8" xfId="37"/>
    <cellStyle name="千位分隔 9" xfId="38"/>
    <cellStyle name="千位分隔[0] 2" xfId="39"/>
    <cellStyle name="千位分隔[0] 3" xfId="40"/>
    <cellStyle name="千位分隔[0] 4" xfId="41"/>
    <cellStyle name="百分比 3" xfId="42"/>
    <cellStyle builtinId="3" name="千位分隔" xfId="43"/>
    <cellStyle name="千位分隔 2 3" xfId="44"/>
    <cellStyle name="千位分隔 3 2" xfId="45"/>
    <cellStyle name="常规 3 3" xfId="46"/>
    <cellStyle name="常规 2 3" xfId="47"/>
    <cellStyle name="常规 15" xfId="48"/>
    <cellStyle name="千位分隔 10" xfId="49"/>
    <cellStyle builtinId="5" name="百分比" xfId="50"/>
    <cellStyle name="常规 16" xfId="51"/>
    <cellStyle name="常规 3 4" xfId="52"/>
    <cellStyle name="千位分隔 3 3" xfId="53"/>
    <cellStyle name="千位分隔 2 4" xfId="54"/>
    <cellStyle name="常规 2 4" xfId="55"/>
    <cellStyle name="百分比 3 2" xfId="56"/>
    <cellStyle name="Normal_Book2" xfId="57"/>
    <cellStyle name="百分比 4" xfId="58"/>
    <cellStyle name="百分比 5" xfId="59"/>
    <cellStyle name="千位分隔 11" xfId="60"/>
    <cellStyle name="常规_OB vs Act_200608 after allocation 4-8" xfId="61"/>
    <cellStyle name="百分比 3 2 2" xfId="62"/>
    <cellStyle name="百分比 6" xfId="63"/>
    <cellStyle name="常规 10 2" xfId="64"/>
    <cellStyle name="常规 17" xfId="65"/>
    <cellStyle name="常规 3 4 2" xfId="66"/>
    <cellStyle name="千位分隔 12" xfId="67"/>
    <cellStyle name="千位分隔 3 3 2" xfId="68"/>
    <cellStyle name="0,0_x000d__x000a_NA_x000d__x000a_" xfId="69"/>
    <cellStyle name="Normal 2 2" xfId="70"/>
    <cellStyle name="Normal 2 3" xfId="71"/>
    <cellStyle name="Normal 2 4" xfId="72"/>
    <cellStyle name="Normal 3 2" xfId="73"/>
    <cellStyle name="Normal 3 2 10" xfId="74"/>
    <cellStyle name="Normal 3 2 11" xfId="75"/>
    <cellStyle name="Normal 3 2 12" xfId="76"/>
    <cellStyle name="Normal 3 2 13" xfId="77"/>
    <cellStyle name="Normal 3 2 14" xfId="78"/>
    <cellStyle name="Normal 3 2 15" xfId="79"/>
    <cellStyle name="Normal 3 2 16" xfId="80"/>
    <cellStyle name="Normal 3 2 17" xfId="81"/>
    <cellStyle name="Normal 3 2 18" xfId="82"/>
    <cellStyle name="Normal 3 2 19" xfId="83"/>
    <cellStyle name="Normal 3 2 2" xfId="84"/>
    <cellStyle name="Normal 3 2 20" xfId="85"/>
    <cellStyle name="Normal 3 2 21" xfId="86"/>
    <cellStyle name="Normal 3 2 3" xfId="87"/>
    <cellStyle name="Normal 3 2 3 10" xfId="88"/>
    <cellStyle name="Normal 3 2 3 11" xfId="89"/>
    <cellStyle name="Normal 3 2 3 12" xfId="90"/>
    <cellStyle name="Normal 3 2 3 13" xfId="91"/>
    <cellStyle name="Normal 3 2 3 14" xfId="92"/>
    <cellStyle name="Normal 3 2 3 15" xfId="93"/>
    <cellStyle name="Normal 3 2 3 16" xfId="94"/>
    <cellStyle name="Normal 3 2 3 17" xfId="95"/>
    <cellStyle name="Normal 3 2 3 18" xfId="96"/>
    <cellStyle name="Normal 3 2 3 19" xfId="97"/>
    <cellStyle name="Normal 3 2 3 2 2" xfId="98"/>
    <cellStyle name="Normal 3 2 3 2 3" xfId="99"/>
    <cellStyle name="Normal 3 2 3 20" xfId="100"/>
    <cellStyle name="Normal 3 2 3 3" xfId="101"/>
    <cellStyle name="Normal 3 2 3 4" xfId="102"/>
    <cellStyle name="Normal 3 2 3 5" xfId="103"/>
    <cellStyle name="Normal 3 2 3 6" xfId="104"/>
    <cellStyle name="Normal 3 2 3 7" xfId="105"/>
    <cellStyle name="Normal 3 2 3 8" xfId="106"/>
    <cellStyle name="Normal 3 2 3 9" xfId="107"/>
    <cellStyle name="Normal 3 2 4" xfId="108"/>
    <cellStyle name="Normal 3 2 5" xfId="109"/>
    <cellStyle name="Normal 3 2 6" xfId="110"/>
    <cellStyle name="Normal 3 2 7" xfId="111"/>
    <cellStyle name="Normal 3 2 8" xfId="112"/>
    <cellStyle name="Normal 3 2 9" xfId="113"/>
    <cellStyle name="Normal 3 3" xfId="114"/>
    <cellStyle name="Normal 3 4" xfId="115"/>
    <cellStyle name="Normal 4 2" xfId="116"/>
    <cellStyle name="Normal 4 3" xfId="117"/>
    <cellStyle name="Percent 2 10" xfId="118"/>
    <cellStyle name="Percent 2 11" xfId="119"/>
    <cellStyle name="Percent 2 12" xfId="120"/>
    <cellStyle name="Percent 2 13" xfId="121"/>
    <cellStyle name="Percent 2 14" xfId="122"/>
    <cellStyle name="Percent 2 15" xfId="123"/>
    <cellStyle name="Percent 2 16" xfId="124"/>
    <cellStyle name="Percent 2 17" xfId="125"/>
    <cellStyle name="Percent 2 18" xfId="126"/>
    <cellStyle name="Percent 2 19" xfId="127"/>
    <cellStyle name="Percent 2 2" xfId="128"/>
    <cellStyle name="Percent 2 20" xfId="129"/>
    <cellStyle name="Percent 2 3" xfId="130"/>
    <cellStyle name="Percent 2 4" xfId="131"/>
    <cellStyle name="Percent 2 5" xfId="132"/>
    <cellStyle name="Percent 2 6" xfId="133"/>
    <cellStyle name="Percent 2 7" xfId="134"/>
    <cellStyle name="Percent 2 8" xfId="135"/>
    <cellStyle name="Percent 2 9" xfId="136"/>
    <cellStyle name="Style 1 2" xfId="137"/>
    <cellStyle name="Style 1 3" xfId="138"/>
    <cellStyle name="スタイル 1 2" xfId="139"/>
    <cellStyle name="スタイル 1 3" xfId="140"/>
    <cellStyle name="百分比 2 10" xfId="141"/>
    <cellStyle name="百分比 2 11" xfId="142"/>
    <cellStyle name="百分比 2 12" xfId="143"/>
    <cellStyle name="百分比 2 13" xfId="144"/>
    <cellStyle name="百分比 2 14" xfId="145"/>
    <cellStyle name="百分比 2 15" xfId="146"/>
    <cellStyle name="百分比 2 16" xfId="147"/>
    <cellStyle name="百分比 2 17" xfId="148"/>
    <cellStyle name="百分比 2 18" xfId="149"/>
    <cellStyle name="百分比 2 19" xfId="150"/>
    <cellStyle name="百分比 2 2 2" xfId="151"/>
    <cellStyle name="百分比 2 20" xfId="152"/>
    <cellStyle name="百分比 2 21" xfId="153"/>
    <cellStyle name="百分比 2 22" xfId="154"/>
    <cellStyle name="百分比 2 3" xfId="155"/>
    <cellStyle name="百分比 2 3 10" xfId="156"/>
    <cellStyle name="百分比 2 3 11" xfId="157"/>
    <cellStyle name="百分比 2 3 12" xfId="158"/>
    <cellStyle name="百分比 2 3 13" xfId="159"/>
    <cellStyle name="百分比 2 3 14" xfId="160"/>
    <cellStyle name="百分比 2 3 15" xfId="161"/>
    <cellStyle name="百分比 2 3 16" xfId="162"/>
    <cellStyle name="百分比 2 3 17" xfId="163"/>
    <cellStyle name="百分比 2 3 18" xfId="164"/>
    <cellStyle name="百分比 2 3 19" xfId="165"/>
    <cellStyle name="百分比 2 3 2" xfId="166"/>
    <cellStyle name="百分比 2 3 20" xfId="167"/>
    <cellStyle name="百分比 2 3 3" xfId="168"/>
    <cellStyle name="百分比 2 3 4" xfId="169"/>
    <cellStyle name="百分比 2 3 5" xfId="170"/>
    <cellStyle name="百分比 2 3 6" xfId="171"/>
    <cellStyle name="百分比 2 3 7" xfId="172"/>
    <cellStyle name="百分比 2 3 8" xfId="173"/>
    <cellStyle name="百分比 2 3 9" xfId="174"/>
    <cellStyle name="百分比 2 4" xfId="175"/>
    <cellStyle name="百分比 2 5" xfId="176"/>
    <cellStyle name="百分比 2 6" xfId="177"/>
    <cellStyle name="百分比 2 7" xfId="178"/>
    <cellStyle name="百分比 2 8" xfId="179"/>
    <cellStyle name="百分比 2 9" xfId="180"/>
    <cellStyle name="百分比 3 3" xfId="181"/>
    <cellStyle name="百分比 6 2" xfId="182"/>
    <cellStyle name="標準 2" xfId="183"/>
    <cellStyle name="標準 3" xfId="184"/>
    <cellStyle name="標準_【ICCパッケージ】物品四期開発工数見積（icc確認Ver2.0）" xfId="185"/>
    <cellStyle name="常规 10 2 2" xfId="186"/>
    <cellStyle name="常规 10 3" xfId="187"/>
    <cellStyle name="常规 10 4" xfId="188"/>
    <cellStyle name="常规 11 2" xfId="189"/>
    <cellStyle name="常规 11 3" xfId="190"/>
    <cellStyle name="常规 12 2" xfId="191"/>
    <cellStyle name="常规 12 3" xfId="192"/>
    <cellStyle name="常规 13 2" xfId="193"/>
    <cellStyle name="常规 13 3" xfId="194"/>
    <cellStyle name="常规 14 2" xfId="195"/>
    <cellStyle name="常规 14 3" xfId="196"/>
    <cellStyle name="常规 15 2" xfId="197"/>
    <cellStyle name="常规 15 3" xfId="198"/>
    <cellStyle name="常规 16 2" xfId="199"/>
    <cellStyle name="常规 16 3" xfId="200"/>
    <cellStyle name="常规 17 2" xfId="201"/>
    <cellStyle name="常规 17 3" xfId="202"/>
    <cellStyle name="常规 18" xfId="203"/>
    <cellStyle name="常规 19" xfId="204"/>
    <cellStyle name="常规 2 2 10" xfId="205"/>
    <cellStyle name="常规 2 2 11" xfId="206"/>
    <cellStyle name="常规 2 2 12" xfId="207"/>
    <cellStyle name="常规 2 2 13" xfId="208"/>
    <cellStyle name="常规 2 2 14" xfId="209"/>
    <cellStyle name="常规 2 2 15" xfId="210"/>
    <cellStyle name="常规 2 2 16" xfId="211"/>
    <cellStyle name="常规 2 2 17" xfId="212"/>
    <cellStyle name="常规 2 2 18" xfId="213"/>
    <cellStyle name="常规 2 2 19" xfId="214"/>
    <cellStyle name="常规 2 2 2" xfId="215"/>
    <cellStyle name="常规 2 2 20" xfId="216"/>
    <cellStyle name="常规 2 2 21" xfId="217"/>
    <cellStyle name="常规 2 2 22" xfId="218"/>
    <cellStyle name="常规 2 2 23" xfId="219"/>
    <cellStyle name="常规 2 2 24" xfId="220"/>
    <cellStyle name="常规 2 2 25" xfId="221"/>
    <cellStyle name="常规 2 2 3" xfId="222"/>
    <cellStyle name="常规 2 2 3 10" xfId="223"/>
    <cellStyle name="常规 2 2 3 11" xfId="224"/>
    <cellStyle name="常规 2 2 3 12" xfId="225"/>
    <cellStyle name="常规 2 2 3 13" xfId="226"/>
    <cellStyle name="常规 2 2 3 14" xfId="227"/>
    <cellStyle name="常规 2 2 3 15" xfId="228"/>
    <cellStyle name="常规 2 2 3 16" xfId="229"/>
    <cellStyle name="常规 2 2 3 17" xfId="230"/>
    <cellStyle name="常规 2 2 3 18" xfId="231"/>
    <cellStyle name="常规 2 2 3 19" xfId="232"/>
    <cellStyle name="常规 2 2 3 2" xfId="233"/>
    <cellStyle name="常规 2 2 3 20" xfId="234"/>
    <cellStyle name="常规 2 2 3 3" xfId="235"/>
    <cellStyle name="常规 2 2 3 4" xfId="236"/>
    <cellStyle name="常规 2 2 3 5" xfId="237"/>
    <cellStyle name="常规 2 2 3 6" xfId="238"/>
    <cellStyle name="常规 2 2 3 7" xfId="239"/>
    <cellStyle name="常规 2 2 3 8" xfId="240"/>
    <cellStyle name="常规 2 2 3 9" xfId="241"/>
    <cellStyle name="常规 2 2 4" xfId="242"/>
    <cellStyle name="常规 2 2 5" xfId="243"/>
    <cellStyle name="常规 2 2 6" xfId="244"/>
    <cellStyle name="常规 2 2 7" xfId="245"/>
    <cellStyle name="常规 2 2 8" xfId="246"/>
    <cellStyle name="常规 2 2 9" xfId="247"/>
    <cellStyle name="常规 2 3 2" xfId="248"/>
    <cellStyle name="常规 2 3 3" xfId="249"/>
    <cellStyle name="常规 2 3 4" xfId="250"/>
    <cellStyle name="常规 2 4 2" xfId="251"/>
    <cellStyle name="常规 2 4 3" xfId="252"/>
    <cellStyle name="常规 20" xfId="253"/>
    <cellStyle name="常规 21" xfId="254"/>
    <cellStyle name="常规 22" xfId="255"/>
    <cellStyle name="常规 3 2 2" xfId="256"/>
    <cellStyle name="常规 3 3 2" xfId="257"/>
    <cellStyle name="常规 3 3 3" xfId="258"/>
    <cellStyle name="常规 3 4 2 2" xfId="259"/>
    <cellStyle name="常规 3 4 3" xfId="260"/>
    <cellStyle name="常规 3 4 4" xfId="261"/>
    <cellStyle name="常规 3 5" xfId="262"/>
    <cellStyle name="常规 4 2 2" xfId="263"/>
    <cellStyle name="常规 4 2 3" xfId="264"/>
    <cellStyle name="常规 4 3" xfId="265"/>
    <cellStyle name="常规 4 4" xfId="266"/>
    <cellStyle name="常规 4 5" xfId="267"/>
    <cellStyle name="常规 5 2" xfId="268"/>
    <cellStyle name="常规 5 3" xfId="269"/>
    <cellStyle name="常规 5 4" xfId="270"/>
    <cellStyle name="常规 6 2" xfId="271"/>
    <cellStyle name="常规 6 3" xfId="272"/>
    <cellStyle name="常规 6 4" xfId="273"/>
    <cellStyle name="常规 7 2" xfId="274"/>
    <cellStyle name="常规 7 3" xfId="275"/>
    <cellStyle name="常规 9 2" xfId="276"/>
    <cellStyle name="常规 9 3" xfId="277"/>
    <cellStyle name="千位分隔 12 2" xfId="278"/>
    <cellStyle name="千位分隔 2 2 2" xfId="279"/>
    <cellStyle name="千位分隔 2 3 2" xfId="280"/>
    <cellStyle name="千位分隔 3 4" xfId="281"/>
    <cellStyle name="常规 18 2" xfId="282"/>
    <cellStyle name="0,0_x000a__x000a_NA_x000a__x000a_" xfId="283"/>
    <cellStyle name="20% - Accent1" xfId="284"/>
    <cellStyle name="20% - Accent2" xfId="285"/>
    <cellStyle name="20% - Accent3" xfId="286"/>
    <cellStyle name="20% - Accent4" xfId="287"/>
    <cellStyle name="20% - Accent5" xfId="288"/>
    <cellStyle name="20% - Accent6" xfId="289"/>
    <cellStyle name="40% - Accent1" xfId="290"/>
    <cellStyle name="40% - Accent2" xfId="291"/>
    <cellStyle name="40% - Accent3" xfId="292"/>
    <cellStyle name="40% - Accent4" xfId="293"/>
    <cellStyle name="40% - Accent5" xfId="294"/>
    <cellStyle name="40% - Accent6" xfId="295"/>
    <cellStyle name="60% - Accent1" xfId="296"/>
    <cellStyle name="60% - Accent2" xfId="297"/>
    <cellStyle name="60% - Accent3" xfId="298"/>
    <cellStyle name="60% - Accent4" xfId="299"/>
    <cellStyle name="60% - Accent5" xfId="300"/>
    <cellStyle name="60% - Accent6" xfId="301"/>
    <cellStyle name="Accent1" xfId="302"/>
    <cellStyle name="Accent2" xfId="303"/>
    <cellStyle name="Accent3" xfId="304"/>
    <cellStyle name="Accent4" xfId="305"/>
    <cellStyle name="Accent5" xfId="306"/>
    <cellStyle name="Accent6" xfId="307"/>
    <cellStyle name="Bad" xfId="308"/>
    <cellStyle name="Calculation" xfId="309"/>
    <cellStyle name="Check Cell" xfId="310"/>
    <cellStyle name="Comma [0] 2" xfId="311"/>
    <cellStyle name="Comma 3 2" xfId="312"/>
    <cellStyle name="Currency [0] 2" xfId="313"/>
    <cellStyle name="Explanatory Text" xfId="314"/>
    <cellStyle name="Good" xfId="315"/>
    <cellStyle name="Heading 1" xfId="316"/>
    <cellStyle name="Heading 2" xfId="317"/>
    <cellStyle name="Heading 3" xfId="318"/>
    <cellStyle name="Heading 4" xfId="319"/>
    <cellStyle name="Hyperlink 2" xfId="320"/>
    <cellStyle name="Input" xfId="321"/>
    <cellStyle name="Linked Cell" xfId="322"/>
    <cellStyle name="Neutral" xfId="323"/>
    <cellStyle name="Normal 2 2 2" xfId="324"/>
    <cellStyle name="Normal 2 3 2" xfId="325"/>
    <cellStyle name="Normal 3 2 22" xfId="326"/>
    <cellStyle name="Normal 3 3 2" xfId="327"/>
    <cellStyle name="Normal 5" xfId="328"/>
    <cellStyle name="Normal 9 5" xfId="329"/>
    <cellStyle name="Normal 9 5 2" xfId="330"/>
    <cellStyle name="Normal 9 5 2 2" xfId="331"/>
    <cellStyle name="Normal 9 5 3" xfId="332"/>
    <cellStyle name="Normal 9 5 3 2" xfId="333"/>
    <cellStyle name="Normal 9 5 4" xfId="334"/>
    <cellStyle name="Normal 9 5 4 2" xfId="335"/>
    <cellStyle name="Normal 9 5 5" xfId="336"/>
    <cellStyle name="Note" xfId="337"/>
    <cellStyle name="Note 2" xfId="338"/>
    <cellStyle name="Output" xfId="339"/>
    <cellStyle name="Title" xfId="340"/>
    <cellStyle name="Total" xfId="341"/>
    <cellStyle name="Warning Text" xfId="342"/>
    <cellStyle name="標準 2 3" xfId="343"/>
    <cellStyle name="標準 2 2" xfId="344"/>
    <cellStyle name="標準 2 2 2" xfId="345"/>
    <cellStyle name="標準 2 2 3" xfId="346"/>
    <cellStyle name="標準 2 2 3 2" xfId="347"/>
    <cellStyle name="標準 3 4" xfId="348"/>
    <cellStyle name="標準 3 2" xfId="349"/>
    <cellStyle name="標準 3 2 2" xfId="350"/>
    <cellStyle name="標準 3 3" xfId="351"/>
    <cellStyle name="標準 4" xfId="352"/>
    <cellStyle name="標準 4 2" xfId="353"/>
    <cellStyle name="常规 2 2 2 2" xfId="354"/>
    <cellStyle name="常规 2 5" xfId="355"/>
    <cellStyle name="常规 8 2" xfId="356"/>
    <cellStyle name="超链接 2" xfId="357"/>
    <cellStyle name="超链接 2 2" xfId="358"/>
    <cellStyle name="好 2" xfId="359"/>
    <cellStyle name="桁区切り [0.00] 2" xfId="360"/>
    <cellStyle name="桁区切り [0.00] 2 2" xfId="361"/>
    <cellStyle name="桁区切り [0.00] 2 3" xfId="362"/>
    <cellStyle name="桁区切り 2" xfId="363"/>
    <cellStyle name="桁区切り 2 2" xfId="364"/>
    <cellStyle name="桁区切り 3" xfId="365"/>
    <cellStyle name="桁区切り_請求書1-SHV2-V201110-004 2" xfId="366"/>
    <cellStyle name="解释性文本 2" xfId="367"/>
    <cellStyle name="通貨 2" xfId="368"/>
    <cellStyle name="常规 18 2 2" xfId="369"/>
    <cellStyle name="0,0_x000a__x000a_NA_x000a__x000a_ 2" xfId="370"/>
    <cellStyle name="20% - Accent1 2" xfId="371"/>
    <cellStyle name="20% - Accent2 2" xfId="372"/>
    <cellStyle name="20% - Accent3 2" xfId="373"/>
    <cellStyle name="20% - Accent4 2" xfId="374"/>
    <cellStyle name="20% - Accent5 2" xfId="375"/>
    <cellStyle name="20% - Accent6 2" xfId="376"/>
    <cellStyle name="40% - Accent1 2" xfId="377"/>
    <cellStyle name="40% - Accent2 2" xfId="378"/>
    <cellStyle name="40% - Accent3 2" xfId="379"/>
    <cellStyle name="40% - Accent4 2" xfId="380"/>
    <cellStyle name="40% - Accent5 2" xfId="381"/>
    <cellStyle name="40% - Accent6 2" xfId="382"/>
    <cellStyle name="60% - Accent1 2" xfId="383"/>
    <cellStyle name="60% - Accent2 2" xfId="384"/>
    <cellStyle name="60% - Accent3 2" xfId="385"/>
    <cellStyle name="60% - Accent4 2" xfId="386"/>
    <cellStyle name="60% - Accent5 2" xfId="387"/>
    <cellStyle name="60% - Accent6 2" xfId="388"/>
    <cellStyle name="Accent1 2" xfId="389"/>
    <cellStyle name="Accent2 2" xfId="390"/>
    <cellStyle name="Accent3 2" xfId="391"/>
    <cellStyle name="Accent4 2" xfId="392"/>
    <cellStyle name="Accent5 2" xfId="393"/>
    <cellStyle name="Accent6 2" xfId="394"/>
    <cellStyle name="Bad 2" xfId="395"/>
    <cellStyle name="Calculation 2" xfId="396"/>
    <cellStyle name="Check Cell 2" xfId="397"/>
    <cellStyle name="Explanatory Text 2" xfId="398"/>
    <cellStyle name="Good 2" xfId="399"/>
    <cellStyle name="Heading 1 2" xfId="400"/>
    <cellStyle name="Heading 2 2" xfId="401"/>
    <cellStyle name="Heading 3 2" xfId="402"/>
    <cellStyle name="Heading 4 2" xfId="403"/>
    <cellStyle name="Hyperlink 2 2" xfId="404"/>
    <cellStyle name="Input 2" xfId="405"/>
    <cellStyle name="Linked Cell 2" xfId="406"/>
    <cellStyle name="Neutral 2" xfId="407"/>
    <cellStyle name="Normal 2 2 2 2" xfId="408"/>
    <cellStyle name="Normal 2 3 2 2" xfId="409"/>
    <cellStyle name="Normal 3 2 22 2" xfId="410"/>
    <cellStyle name="Normal 3 3 2 2" xfId="411"/>
    <cellStyle name="Normal 5 2" xfId="412"/>
    <cellStyle name="Normal 9 5 6" xfId="413"/>
    <cellStyle name="Normal 9 5 2 3" xfId="414"/>
    <cellStyle name="Normal 9 5 2 2 2" xfId="415"/>
    <cellStyle name="Normal 9 5 3 3" xfId="416"/>
    <cellStyle name="Normal 9 5 3 2 2" xfId="417"/>
    <cellStyle name="Normal 9 5 4 3" xfId="418"/>
    <cellStyle name="Normal 9 5 4 2 2" xfId="419"/>
    <cellStyle name="Normal 9 5 5 2" xfId="420"/>
    <cellStyle name="Note 3" xfId="421"/>
    <cellStyle name="Note 2 2" xfId="422"/>
    <cellStyle name="Output 2" xfId="423"/>
    <cellStyle name="Title 2" xfId="424"/>
    <cellStyle name="Total 2" xfId="425"/>
    <cellStyle name="Warning Text 2" xfId="426"/>
    <cellStyle name="標準 2 3 2" xfId="427"/>
    <cellStyle name="標準 2 2 4" xfId="428"/>
    <cellStyle name="標準 2 2 2 2" xfId="429"/>
    <cellStyle name="標準 2 2 3 3" xfId="430"/>
    <cellStyle name="標準 2 2 3 2 2" xfId="431"/>
    <cellStyle name="標準 3 4 2" xfId="432"/>
    <cellStyle name="標準 3 2 3" xfId="433"/>
    <cellStyle name="標準 3 2 2 2" xfId="434"/>
    <cellStyle name="標準 3 3 2" xfId="435"/>
    <cellStyle name="標準 4 3" xfId="436"/>
    <cellStyle name="標準 4 2 2" xfId="437"/>
    <cellStyle name="常规 2 2 2 2 2" xfId="438"/>
    <cellStyle name="常规 2 5 2" xfId="439"/>
    <cellStyle name="常规 8 2 2" xfId="440"/>
    <cellStyle name="超链接 2 3" xfId="441"/>
    <cellStyle name="超链接 2 2 2" xfId="442"/>
    <cellStyle name="好 2 2" xfId="443"/>
    <cellStyle name="解释性文本 2 2" xfId="444"/>
    <cellStyle name="Calculation 2 2" xfId="445"/>
    <cellStyle name="Calculation 3" xfId="446"/>
    <cellStyle name="Calculation 3 2" xfId="447"/>
    <cellStyle name="Calculation 4" xfId="448"/>
    <cellStyle name="Calculation 4 2" xfId="449"/>
    <cellStyle name="Calculation 5" xfId="450"/>
    <cellStyle name="Calculation 5 2" xfId="451"/>
    <cellStyle name="Calculation 6" xfId="452"/>
    <cellStyle name="Comma 4" xfId="453"/>
    <cellStyle name="Comma 4 2" xfId="454"/>
    <cellStyle name="Input 2 2" xfId="455"/>
    <cellStyle name="Input 3" xfId="456"/>
    <cellStyle name="Input 3 2" xfId="457"/>
    <cellStyle name="Input 4" xfId="458"/>
    <cellStyle name="Input 4 2" xfId="459"/>
    <cellStyle name="Input 5" xfId="460"/>
    <cellStyle name="Input 5 2" xfId="461"/>
    <cellStyle name="Input 6" xfId="462"/>
    <cellStyle name="Normal 3 2 23" xfId="463"/>
    <cellStyle name="Normal 3 2 23 2" xfId="464"/>
    <cellStyle name="Normal 3 2 3 2 2 2" xfId="465"/>
    <cellStyle name="Normal 3 2 3 2 2 2 2" xfId="466"/>
    <cellStyle name="Normal 5 2 2" xfId="467"/>
    <cellStyle name="Normal 5 3" xfId="468"/>
    <cellStyle name="Note 2 2 2" xfId="469"/>
    <cellStyle name="Note 2 3" xfId="470"/>
    <cellStyle name="Note 2 3 2" xfId="471"/>
    <cellStyle name="Note 2 4" xfId="472"/>
    <cellStyle name="Note 2 4 2" xfId="473"/>
    <cellStyle name="Note 2 5" xfId="474"/>
    <cellStyle name="Note 2 5 2" xfId="475"/>
    <cellStyle name="Note 2 6" xfId="476"/>
    <cellStyle name="Note 3 2" xfId="477"/>
    <cellStyle name="Note 4" xfId="478"/>
    <cellStyle name="Note 4 2" xfId="479"/>
    <cellStyle name="Note 5" xfId="480"/>
    <cellStyle name="Note 5 2" xfId="481"/>
    <cellStyle name="Note 6" xfId="482"/>
    <cellStyle name="Note 6 2" xfId="483"/>
    <cellStyle name="Note 7" xfId="484"/>
    <cellStyle name="Output 2 2" xfId="485"/>
    <cellStyle name="Output 3" xfId="486"/>
    <cellStyle name="Output 3 2" xfId="487"/>
    <cellStyle name="Output 4" xfId="488"/>
    <cellStyle name="Output 4 2" xfId="489"/>
    <cellStyle name="Output 5" xfId="490"/>
    <cellStyle name="Output 5 2" xfId="491"/>
    <cellStyle name="Output 6" xfId="492"/>
    <cellStyle name="Percent 3" xfId="493"/>
    <cellStyle name="Total 2 2" xfId="494"/>
    <cellStyle name="Total 3" xfId="495"/>
    <cellStyle name="Total 3 2" xfId="496"/>
    <cellStyle name="Total 4" xfId="497"/>
    <cellStyle name="Total 4 2" xfId="498"/>
    <cellStyle name="Total 5" xfId="499"/>
    <cellStyle name="Total 5 2" xfId="500"/>
    <cellStyle name="Total 6" xfId="501"/>
    <cellStyle name="百分比 2 2 2 2" xfId="502"/>
    <cellStyle name="百分比 4 2" xfId="503"/>
    <cellStyle name="百分比 5 2" xfId="504"/>
    <cellStyle name="常规 15 2 2" xfId="505"/>
    <cellStyle name="常规 16 4" xfId="506"/>
    <cellStyle name="常规 16 4 2" xfId="507"/>
    <cellStyle name="常规 18 3" xfId="508"/>
    <cellStyle name="常规 18 4" xfId="509"/>
    <cellStyle name="常规 18 5" xfId="510"/>
    <cellStyle name="常规 18 5 2" xfId="511"/>
    <cellStyle name="常规 19 2" xfId="512"/>
    <cellStyle name="常规 19 2 2" xfId="513"/>
    <cellStyle name="常规 19 3" xfId="514"/>
    <cellStyle name="常规 19 3 2" xfId="515"/>
    <cellStyle name="常规 2 2 10 2" xfId="516"/>
    <cellStyle name="常规 2 2 10 2 2" xfId="517"/>
    <cellStyle name="常规 2 2 2 3" xfId="518"/>
    <cellStyle name="常规 2 2 2 3 2" xfId="519"/>
    <cellStyle name="常规 2 2 3 2 2" xfId="520"/>
    <cellStyle name="常规 2 2 3 2 2 2" xfId="521"/>
    <cellStyle name="常规 2 5 3" xfId="522"/>
    <cellStyle name="千位分隔 10 2" xfId="523"/>
    <cellStyle name="千位分隔 10 2 2" xfId="524"/>
    <cellStyle name="千位分隔 10 3" xfId="525"/>
    <cellStyle name="千位分隔 11 2" xfId="526"/>
    <cellStyle name="千位分隔 12 3" xfId="527"/>
    <cellStyle name="千位分隔 12 4" xfId="528"/>
    <cellStyle name="千位分隔 13" xfId="529"/>
    <cellStyle name="千位分隔 13 2" xfId="530"/>
    <cellStyle name="千位分隔 14" xfId="531"/>
    <cellStyle name="千位分隔 2 3 3" xfId="532"/>
    <cellStyle name="千位分隔 2 4 2" xfId="533"/>
    <cellStyle name="千位分隔 3 2 2" xfId="534"/>
    <cellStyle name="千位分隔 5 2" xfId="535"/>
    <cellStyle name="千位分隔 6 2" xfId="536"/>
    <cellStyle name="千位分隔 8 2" xfId="537"/>
    <cellStyle name="千位分隔 9 2" xfId="538"/>
    <cellStyle name="常规 32" xfId="539"/>
    <cellStyle name="Normal" xfId="540"/>
    <cellStyle name="Normal 10" xfId="541"/>
    <cellStyle name="Normal 11" xfId="542"/>
    <cellStyle name="Normal 12" xfId="543"/>
    <cellStyle name="Normal 13" xfId="544"/>
    <cellStyle name="Normal 14" xfId="545"/>
    <cellStyle name="Normal 15" xfId="546"/>
    <cellStyle name="Normal 16" xfId="547"/>
    <cellStyle name="Normal 17" xfId="548"/>
    <cellStyle name="Normal 18" xfId="549"/>
    <cellStyle name="Normal 19" xfId="550"/>
    <cellStyle name="Normal 2 5" xfId="551"/>
    <cellStyle name="Normal 20" xfId="552"/>
    <cellStyle name="Normal 21" xfId="553"/>
    <cellStyle name="Normal 22" xfId="554"/>
    <cellStyle name="Normal 23" xfId="555"/>
    <cellStyle name="Normal 24" xfId="556"/>
    <cellStyle name="Normal 25" xfId="557"/>
    <cellStyle name="Normal 26" xfId="558"/>
    <cellStyle name="Normal 27" xfId="559"/>
    <cellStyle name="Normal 28" xfId="560"/>
    <cellStyle name="Normal 3 5" xfId="561"/>
    <cellStyle name="Normal 4 4" xfId="562"/>
    <cellStyle name="Normal 5 4" xfId="563"/>
    <cellStyle name="Normal 6" xfId="564"/>
    <cellStyle name="Normal 7" xfId="565"/>
    <cellStyle name="Normal 8" xfId="566"/>
    <cellStyle name="Normal 9" xfId="567"/>
    <cellStyle name="常规 10 5" xfId="568"/>
    <cellStyle name="常规 11 4" xfId="569"/>
    <cellStyle name="常规 12 4" xfId="570"/>
    <cellStyle name="常规 13 4" xfId="571"/>
    <cellStyle name="常规 14 4" xfId="572"/>
    <cellStyle name="常规 15 4" xfId="573"/>
    <cellStyle name="常规 16 5" xfId="574"/>
    <cellStyle name="常规 17 4" xfId="575"/>
    <cellStyle name="常规 18 6" xfId="576"/>
    <cellStyle name="常规 19 4" xfId="577"/>
    <cellStyle name="常规 2 6" xfId="578"/>
    <cellStyle name="常规 2 2 26" xfId="579"/>
    <cellStyle name="常规 20 2" xfId="580"/>
    <cellStyle name="常规 21 2" xfId="581"/>
    <cellStyle name="常规 22 2" xfId="582"/>
    <cellStyle name="常规 23" xfId="583"/>
    <cellStyle name="常规 24" xfId="584"/>
    <cellStyle name="常规 25" xfId="585"/>
    <cellStyle name="常规 26" xfId="586"/>
    <cellStyle name="常规 27" xfId="587"/>
    <cellStyle name="常规 28" xfId="588"/>
    <cellStyle name="常规 29" xfId="589"/>
    <cellStyle name="常规 3 6" xfId="590"/>
    <cellStyle name="常规 30" xfId="591"/>
    <cellStyle name="常规 31" xfId="592"/>
    <cellStyle name="常规 4 6" xfId="593"/>
    <cellStyle name="常规 5 5" xfId="594"/>
    <cellStyle name="常规 6 5" xfId="595"/>
    <cellStyle name="常规 7 4" xfId="596"/>
    <cellStyle name="常规 8 3" xfId="597"/>
    <cellStyle name="常规 9 4" xfId="598"/>
  </cellStyles>
  <dxfs count="404"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ont>
        <condense val="0"/>
        <color rgb="FF9C0006"/>
        <extend val="0"/>
      </font>
    </dxf>
    <dxf>
      <font>
        <color rgb="FF0000CC"/>
      </font>
    </dxf>
    <dxf>
      <font>
        <condense val="0"/>
        <color rgb="FF9C0006"/>
        <extend val="0"/>
      </font>
    </dxf>
    <dxf>
      <font>
        <color theme="1"/>
      </font>
      <fill>
        <patternFill>
          <bgColor auto="1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ill>
        <patternFill>
          <bgColor theme="7" tint="0.5999633777886288"/>
        </patternFill>
      </fill>
    </dxf>
    <dxf>
      <font>
        <condense val="0"/>
        <color rgb="FF9C0006"/>
        <extend val="0"/>
      </font>
    </dxf>
    <dxf>
      <font>
        <color rgb="FF0000CC"/>
      </font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ont>
        <condense val="0"/>
        <color rgb="FF9C0006"/>
        <extend val="0"/>
      </font>
    </dxf>
    <dxf>
      <font>
        <color theme="1"/>
      </font>
      <fill>
        <patternFill>
          <bgColor auto="1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ill>
        <patternFill>
          <bgColor theme="7" tint="0.5999633777886288"/>
        </patternFill>
      </fill>
    </dxf>
    <dxf>
      <font>
        <condense val="0"/>
        <color rgb="FF9C0006"/>
        <extend val="0"/>
      </font>
    </dxf>
    <dxf>
      <font>
        <color rgb="FF0000CC"/>
      </font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ont>
        <condense val="0"/>
        <color rgb="FF9C0006"/>
        <extend val="0"/>
      </font>
    </dxf>
    <dxf>
      <font>
        <color rgb="FF0000CC"/>
      </font>
    </dxf>
    <dxf>
      <font>
        <condense val="0"/>
        <color rgb="FF9C0006"/>
        <extend val="0"/>
      </font>
    </dxf>
    <dxf>
      <font>
        <color theme="1"/>
      </font>
      <fill>
        <patternFill>
          <bgColor auto="1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ill>
        <patternFill>
          <bgColor theme="7" tint="0.5999633777886288"/>
        </patternFill>
      </fill>
    </dxf>
    <dxf>
      <font>
        <condense val="0"/>
        <color rgb="FF9C0006"/>
        <extend val="0"/>
      </font>
    </dxf>
    <dxf>
      <font>
        <color rgb="FF0000CC"/>
      </font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ont>
        <condense val="0"/>
        <color rgb="FF9C0006"/>
        <extend val="0"/>
      </font>
    </dxf>
    <dxf>
      <font>
        <color rgb="FF0000CC"/>
      </font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ont>
        <condense val="0"/>
        <color rgb="FF9C0006"/>
        <extend val="0"/>
      </font>
    </dxf>
    <dxf>
      <font>
        <color rgb="FF0000CC"/>
      </font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  <dxf>
      <font>
        <condense val="0"/>
        <color rgb="FF9C0006"/>
        <extend val="0"/>
      </font>
    </dxf>
    <dxf>
      <font>
        <color theme="1"/>
      </font>
      <fill>
        <patternFill>
          <bgColor auto="1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ill>
        <patternFill>
          <bgColor theme="7" tint="0.5999633777886288"/>
        </patternFill>
      </fill>
    </dxf>
    <dxf>
      <font>
        <condense val="0"/>
        <color rgb="FF9C0006"/>
        <extend val="0"/>
      </font>
    </dxf>
    <dxf>
      <font>
        <color theme="1"/>
      </font>
      <fill>
        <patternFill>
          <bgColor auto="1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ill>
        <patternFill>
          <bgColor theme="7" tint="0.5999633777886288"/>
        </patternFill>
      </fill>
    </dxf>
    <dxf>
      <fill>
        <patternFill>
          <bgColor theme="6" tint="0.3999450666829432"/>
        </patternFill>
      </fill>
    </dxf>
    <dxf>
      <font>
        <condense val="0"/>
        <color rgb="FF9C0006"/>
        <extend val="0"/>
      </font>
    </dxf>
    <dxf>
      <font>
        <color rgb="FF0000CC"/>
      </font>
    </dxf>
    <dxf>
      <font>
        <condense val="0"/>
        <color rgb="FF9C0006"/>
        <extend val="0"/>
      </font>
    </dxf>
    <dxf>
      <font>
        <color rgb="FF0000CC"/>
      </font>
    </dxf>
    <dxf>
      <font>
        <condense val="0"/>
        <color rgb="FF9C0006"/>
        <extend val="0"/>
      </font>
    </dxf>
    <dxf>
      <font>
        <color rgb="FF0000CC"/>
      </font>
    </dxf>
    <dxf>
      <font>
        <condense val="0"/>
        <color rgb="FF9C0006"/>
        <extend val="0"/>
      </font>
    </dxf>
    <dxf>
      <font>
        <color rgb="FF0000CC"/>
      </font>
    </dxf>
    <dxf>
      <font>
        <condense val="0"/>
        <color rgb="FF9C0006"/>
        <extend val="0"/>
      </font>
    </dxf>
    <dxf>
      <font>
        <color theme="1"/>
      </font>
      <fill>
        <patternFill>
          <bgColor auto="1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ill>
        <patternFill>
          <bgColor theme="7" tint="0.5999633777886288"/>
        </patternFill>
      </fill>
    </dxf>
    <dxf>
      <font>
        <condense val="0"/>
        <color rgb="FF9C0006"/>
        <extend val="0"/>
      </font>
    </dxf>
    <dxf>
      <font>
        <color rgb="FF0000CC"/>
      </font>
    </dxf>
    <dxf>
      <font>
        <condense val="0"/>
        <color rgb="FF9C0006"/>
        <extend val="0"/>
      </font>
    </dxf>
    <dxf>
      <font>
        <color theme="1"/>
      </font>
      <fill>
        <patternFill>
          <bgColor auto="1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ill>
        <patternFill>
          <bgColor theme="7" tint="0.5999633777886288"/>
        </patternFill>
      </fill>
    </dxf>
    <dxf>
      <font>
        <condense val="0"/>
        <color rgb="FF9C0006"/>
        <extend val="0"/>
      </font>
    </dxf>
    <dxf>
      <font>
        <color rgb="FF0000CC"/>
      </font>
    </dxf>
    <dxf>
      <font>
        <condense val="0"/>
        <color rgb="FF9C0006"/>
        <extend val="0"/>
      </font>
    </dxf>
    <dxf>
      <font>
        <color theme="1"/>
      </font>
      <fill>
        <patternFill>
          <bgColor auto="1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ill>
        <patternFill>
          <bgColor theme="7" tint="0.5999633777886288"/>
        </patternFill>
      </fill>
    </dxf>
    <dxf>
      <font>
        <condense val="0"/>
        <color rgb="FF9C0006"/>
        <extend val="0"/>
      </font>
    </dxf>
    <dxf>
      <font>
        <color rgb="FF0000CC"/>
      </font>
    </dxf>
    <dxf>
      <font>
        <condense val="0"/>
        <color rgb="FF9C0006"/>
        <extend val="0"/>
      </font>
    </dxf>
    <dxf>
      <font>
        <color theme="1"/>
      </font>
      <fill>
        <patternFill>
          <bgColor auto="1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ill>
        <patternFill>
          <bgColor theme="7" tint="0.5999633777886288"/>
        </patternFill>
      </fill>
    </dxf>
    <dxf>
      <font>
        <condense val="0"/>
        <color rgb="FF9C0006"/>
        <extend val="0"/>
      </font>
    </dxf>
    <dxf>
      <font>
        <color rgb="FF0000CC"/>
      </font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externalLinks/externalLink1.xml" Type="http://schemas.openxmlformats.org/officeDocument/2006/relationships/externalLink" /><Relationship Id="rId16" Target="/xl/externalLinks/externalLink2.xml" Type="http://schemas.openxmlformats.org/officeDocument/2006/relationships/externalLink" /><Relationship Id="rId17" Target="/xl/externalLinks/externalLink3.xml" Type="http://schemas.openxmlformats.org/officeDocument/2006/relationships/externalLink" /><Relationship Id="rId18" Target="/xl/externalLinks/externalLink4.xml" Type="http://schemas.openxmlformats.org/officeDocument/2006/relationships/externalLink" /><Relationship Id="rId19" Target="/xl/externalLinks/externalLink5.xml" Type="http://schemas.openxmlformats.org/officeDocument/2006/relationships/externalLink" /><Relationship Id="rId20" Target="/xl/externalLinks/externalLink6.xml" Type="http://schemas.openxmlformats.org/officeDocument/2006/relationships/externalLink" /><Relationship Id="rId21" Target="sharedStrings.xml" Type="http://schemas.openxmlformats.org/officeDocument/2006/relationships/sharedStrings" /><Relationship Id="rId22" Target="styles.xml" Type="http://schemas.openxmlformats.org/officeDocument/2006/relationships/styles" /><Relationship Id="rId2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altLang="zh-CN" baseline="0" lang="en-US"/>
              <a:t>SET PL by month</a:t>
            </a:r>
            <a:endParaRPr altLang="en-US" lang="zh-CN"/>
          </a:p>
        </rich>
      </tx>
      <overlay val="0"/>
    </title>
    <plotArea>
      <layout>
        <manualLayout>
          <layoutTarget val="inner"/>
          <xMode val="edge"/>
          <yMode val="edge"/>
          <x val="0.08911805131240001"/>
          <y val="0.1243270407895928"/>
          <w val="0.8315084882325288"/>
          <h val="0.8420900200542084"/>
        </manualLayout>
      </layout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dLbls>
            <dLbl>
              <idx val="0"/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"/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4"/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5"/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7"/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8"/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9"/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0"/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1"/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2"/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FY18通年!$M$33:$Y$33</f>
              <strCache>
                <ptCount val="13"/>
                <pt idx="0">
                  <v>Apr</v>
                </pt>
                <pt idx="1">
                  <v>May</v>
                </pt>
                <pt idx="2">
                  <v>Jun</v>
                </pt>
                <pt idx="3">
                  <v>July</v>
                </pt>
                <pt idx="4">
                  <v>Aug</v>
                </pt>
                <pt idx="5">
                  <v>Sep</v>
                </pt>
                <pt idx="6">
                  <v>Oct</v>
                </pt>
                <pt idx="7">
                  <v>Nov</v>
                </pt>
                <pt idx="8">
                  <v>Dec</v>
                </pt>
                <pt idx="9">
                  <v>Jan</v>
                </pt>
                <pt idx="10">
                  <v>Feb</v>
                </pt>
                <pt idx="11">
                  <v>Mar</v>
                </pt>
                <pt idx="12">
                  <v>TTL</v>
                </pt>
              </strCache>
            </strRef>
          </cat>
          <val>
            <numRef>
              <f>FY18通年!$M$34:$Y$34</f>
              <numCache>
                <formatCode>0.00_);[Red]\(0.00\)</formatCode>
                <ptCount val="13"/>
                <pt idx="0">
                  <v>-338.0034944004292</v>
                </pt>
                <pt idx="1">
                  <v>-172.0509157770093</v>
                </pt>
                <pt idx="2">
                  <v>-138.323856074735</v>
                </pt>
                <pt idx="3">
                  <v>-446.3338124512438</v>
                </pt>
                <pt idx="4">
                  <v>1215.691494363433</v>
                </pt>
                <pt idx="5">
                  <v>-650.6357746762869</v>
                </pt>
                <pt idx="6">
                  <v>-178.3028004126804</v>
                </pt>
                <pt idx="7">
                  <v>-199.2147350571963</v>
                </pt>
                <pt idx="8">
                  <v>-544.056181822863</v>
                </pt>
                <pt idx="9">
                  <v>-127.9762024085362</v>
                </pt>
                <pt idx="10">
                  <v>-166.1674771875596</v>
                </pt>
                <pt idx="11">
                  <v>-656.1657135438077</v>
                </pt>
                <pt idx="12">
                  <v>-2401.539469448914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147456"/>
        <axId val="90440064"/>
      </barChart>
      <lineChart>
        <grouping val="standard"/>
        <varyColors val="0"/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dLbl>
              <idx val="2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4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6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7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8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0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dLblPos val="b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FY18通年!$M$33:$Y$33</f>
              <strCache>
                <ptCount val="13"/>
                <pt idx="0">
                  <v>Apr</v>
                </pt>
                <pt idx="1">
                  <v>May</v>
                </pt>
                <pt idx="2">
                  <v>Jun</v>
                </pt>
                <pt idx="3">
                  <v>July</v>
                </pt>
                <pt idx="4">
                  <v>Aug</v>
                </pt>
                <pt idx="5">
                  <v>Sep</v>
                </pt>
                <pt idx="6">
                  <v>Oct</v>
                </pt>
                <pt idx="7">
                  <v>Nov</v>
                </pt>
                <pt idx="8">
                  <v>Dec</v>
                </pt>
                <pt idx="9">
                  <v>Jan</v>
                </pt>
                <pt idx="10">
                  <v>Feb</v>
                </pt>
                <pt idx="11">
                  <v>Mar</v>
                </pt>
                <pt idx="12">
                  <v>TTL</v>
                </pt>
              </strCache>
            </strRef>
          </cat>
          <val>
            <numRef>
              <f>FY18通年!$M$35:$Y$35</f>
              <numCache>
                <formatCode>0.00%</formatCode>
                <ptCount val="13"/>
                <pt idx="0">
                  <v>-0.1212163811861272</v>
                </pt>
                <pt idx="1">
                  <v>-0.06028530434377546</v>
                </pt>
                <pt idx="2">
                  <v>-0.0444477181868598</v>
                </pt>
                <pt idx="3">
                  <v>-0.1529836529011863</v>
                </pt>
                <pt idx="4">
                  <v>0.4100768603849185</v>
                </pt>
                <pt idx="5">
                  <v>-0.2012880569262827</v>
                </pt>
                <pt idx="6">
                  <v>-0.051892880269876</v>
                </pt>
                <pt idx="7">
                  <v>-0.05930239958421267</v>
                </pt>
                <pt idx="8">
                  <v>-0.1715127959955277</v>
                </pt>
                <pt idx="9">
                  <v>-0.03882605328799919</v>
                </pt>
                <pt idx="10">
                  <v>-0.05227772069249938</v>
                </pt>
                <pt idx="11">
                  <v>-0.2056589646547913</v>
                </pt>
                <pt idx="12">
                  <v>-0.06403849571054257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90443136"/>
        <axId val="90441600"/>
      </lineChart>
      <catAx>
        <axId val="90147456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90440064"/>
        <crosses val="autoZero"/>
        <auto val="1"/>
        <lblAlgn val="ctr"/>
        <lblOffset val="100"/>
        <noMultiLvlLbl val="0"/>
      </catAx>
      <valAx>
        <axId val="90440064"/>
        <scaling>
          <orientation val="minMax"/>
          <min val="-2800"/>
        </scaling>
        <delete val="0"/>
        <axPos val="l"/>
        <majorGridlines/>
        <numFmt formatCode="0.00_);[Red]\(0.00\)" sourceLinked="1"/>
        <majorTickMark val="out"/>
        <minorTickMark val="none"/>
        <tickLblPos val="nextTo"/>
        <crossAx val="90147456"/>
        <crosses val="autoZero"/>
        <crossBetween val="between"/>
      </valAx>
      <catAx>
        <axId val="90443136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90441600"/>
        <crosses val="autoZero"/>
        <auto val="1"/>
        <lblAlgn val="ctr"/>
        <lblOffset val="100"/>
        <noMultiLvlLbl val="0"/>
      </catAx>
      <valAx>
        <axId val="90441600"/>
        <scaling>
          <orientation val="minMax"/>
        </scaling>
        <delete val="0"/>
        <axPos val="r"/>
        <numFmt formatCode="0%" sourceLinked="0"/>
        <majorTickMark val="out"/>
        <minorTickMark val="none"/>
        <tickLblPos val="nextTo"/>
        <crossAx val="90443136"/>
        <crosses val="max"/>
        <crossBetween val="between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b="1" sz="1400">
                <a:latin typeface="+mn-lt"/>
              </a:defRPr>
            </a:pPr>
            <a:r>
              <a:rPr altLang="zh-CN" b="1" lang="en-US" sz="1400">
                <a:latin typeface="+mn-lt"/>
              </a:rPr>
              <a:t>SQA</a:t>
            </a:r>
            <a:r>
              <a:rPr altLang="zh-CN" b="1" baseline="0" lang="en-US" sz="1400">
                <a:latin typeface="+mn-lt"/>
              </a:rPr>
              <a:t> PJ Dec. PL Chart </a:t>
            </a:r>
            <a:endParaRPr altLang="en-US" b="1" lang="zh-CN" sz="1400">
              <a:latin typeface="+mn-lt"/>
            </a:endParaRPr>
          </a:p>
        </rich>
      </tx>
      <overlay val="1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x val="0.1426204631472571"/>
          <y val="0.1587661606104341"/>
          <w val="0.7081271833009162"/>
          <h val="0.7290169355280706"/>
        </manualLayout>
      </layout>
      <barChart>
        <barDir val="col"/>
        <grouping val="stacked"/>
        <varyColors val="0"/>
        <ser>
          <idx val="0"/>
          <order val="0"/>
          <spPr>
            <a:noFill/>
            <a:ln w="25400">
              <a:noFill/>
              <a:prstDash val="solid"/>
            </a:ln>
          </spPr>
          <invertIfNegative val="0"/>
          <cat>
            <strRef>
              <f>Chart!$BM$3:$BM$8</f>
              <strCache>
                <ptCount val="6"/>
                <pt idx="0">
                  <v>Red</v>
                </pt>
                <pt idx="1">
                  <v>Lyon</v>
                </pt>
                <pt idx="2">
                  <v>PFX</v>
                </pt>
                <pt idx="3">
                  <v>LSI</v>
                </pt>
                <pt idx="4">
                  <v>Gloria</v>
                </pt>
                <pt idx="5">
                  <v>MBT</v>
                </pt>
              </strCache>
            </strRef>
          </cat>
          <val>
            <numRef>
              <f>Chart!$BQ$3:$BQ$8</f>
              <numCache>
                <formatCode>#,##0</formatCode>
                <ptCount val="6"/>
                <pt idx="0">
                  <v>-73.38917874599611</v>
                </pt>
                <pt idx="1">
                  <v>-176.4170253227907</v>
                </pt>
                <pt idx="2">
                  <v>-268.3879097158392</v>
                </pt>
                <pt idx="3">
                  <v>-409.0334127519056</v>
                </pt>
                <pt idx="4">
                  <v>-409.0334127519056</v>
                </pt>
                <pt idx="5">
                  <v>-430.9434649753057</v>
                </pt>
              </numCache>
            </numRef>
          </val>
        </ser>
        <ser>
          <idx val="1"/>
          <order val="1"/>
          <spPr>
            <a:solidFill>
              <a:schemeClr val="accent3">
                <a:lumMod val="40000"/>
                <a:lumOff val="60000"/>
              </a:schemeClr>
            </a:solidFill>
            <a:ln>
              <a:solidFill>
                <a:srgbClr val="000000"/>
              </a:solidFill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chemeClr val="bg2">
                  <a:lumMod val="75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Pt>
            <idx val="3"/>
            <invertIfNegative val="0"/>
            <bubble3D val="0"/>
            <spPr>
              <a:ln>
                <a:prstDash val="solid"/>
              </a:ln>
            </spPr>
          </dPt>
          <dPt>
            <idx val="4"/>
            <invertIfNegative val="0"/>
            <bubble3D val="0"/>
            <spPr>
              <a:ln>
                <a:prstDash val="solid"/>
              </a:ln>
            </spPr>
          </dPt>
          <dPt>
            <idx val="5"/>
            <invertIfNegative val="0"/>
            <bubble3D val="0"/>
            <spPr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Chart!$BM$3:$BM$8</f>
              <strCache>
                <ptCount val="6"/>
                <pt idx="0">
                  <v>Red</v>
                </pt>
                <pt idx="1">
                  <v>Lyon</v>
                </pt>
                <pt idx="2">
                  <v>PFX</v>
                </pt>
                <pt idx="3">
                  <v>LSI</v>
                </pt>
                <pt idx="4">
                  <v>Gloria</v>
                </pt>
                <pt idx="5">
                  <v>MBT</v>
                </pt>
              </strCache>
            </strRef>
          </cat>
          <val>
            <numRef>
              <f>Chart!$BR$3:$BR$8</f>
              <numCache>
                <formatCode>#,##0</formatCode>
                <ptCount val="6"/>
                <pt idx="0">
                  <v>73.38917874599611</v>
                </pt>
                <pt idx="1">
                  <v>103.0278465767946</v>
                </pt>
                <pt idx="2">
                  <v>91.97088439304844</v>
                </pt>
                <pt idx="3">
                  <v>140.6455030360664</v>
                </pt>
                <pt idx="4">
                  <v>0</v>
                </pt>
                <pt idx="5">
                  <v>82.96048181745925</v>
                </pt>
              </numCache>
            </numRef>
          </val>
        </ser>
        <ser>
          <idx val="2"/>
          <order val="2"/>
          <spPr>
            <a:solidFill>
              <a:schemeClr val="bg2">
                <a:lumMod val="75000"/>
              </a:schemeClr>
            </a:solidFill>
            <a:ln>
              <a:solidFill>
                <a:srgbClr val="000000"/>
              </a:solidFill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Pt>
            <idx val="5"/>
            <invertIfNegative val="0"/>
            <bubble3D val="0"/>
            <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Chart!$BM$3:$BM$8</f>
              <strCache>
                <ptCount val="6"/>
                <pt idx="0">
                  <v>Red</v>
                </pt>
                <pt idx="1">
                  <v>Lyon</v>
                </pt>
                <pt idx="2">
                  <v>PFX</v>
                </pt>
                <pt idx="3">
                  <v>LSI</v>
                </pt>
                <pt idx="4">
                  <v>Gloria</v>
                </pt>
                <pt idx="5">
                  <v>MBT</v>
                </pt>
              </strCache>
            </strRef>
          </cat>
          <val>
            <numRef>
              <f>Chart!$BS$3:$BS$8</f>
              <numCache>
                <formatCode>#,##0</formatCode>
                <ptCount val="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61.0504295940591</v>
                </pt>
                <pt idx="5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8"/>
        <overlap val="100"/>
        <axId val="93300992"/>
        <axId val="93310976"/>
      </barChart>
      <catAx>
        <axId val="93300992"/>
        <scaling>
          <orientation val="minMax"/>
        </scaling>
        <delete val="0"/>
        <axPos val="b"/>
        <numFmt formatCode="General" sourceLinked="1"/>
        <majorTickMark val="in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+mn-lt"/>
                <a:ea typeface="宋体"/>
                <a:cs typeface="宋体"/>
              </a:defRPr>
            </a:pPr>
            <a:r>
              <a:t/>
            </a:r>
            <a:endParaRPr lang="zh-CN"/>
          </a:p>
        </txPr>
        <crossAx val="93310976"/>
        <auto val="1"/>
        <lblAlgn val="ctr"/>
        <lblOffset val="100"/>
        <tickLblSkip val="1"/>
        <tickMarkSkip val="1"/>
        <noMultiLvlLbl val="0"/>
      </catAx>
      <valAx>
        <axId val="93310976"/>
        <scaling>
          <orientation val="minMax"/>
          <min val="0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#,##0" sourceLinked="1"/>
        <majorTickMark val="in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+mn-lt"/>
                <a:ea typeface="宋体"/>
                <a:cs typeface="宋体"/>
              </a:defRPr>
            </a:pPr>
            <a:r>
              <a:t/>
            </a:r>
            <a:endParaRPr lang="zh-CN"/>
          </a:p>
        </txPr>
        <crossAx val="93300992"/>
        <crosses val="autoZero"/>
        <crossBetween val="between"/>
        <majorUnit val="20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b="1" sz="1400">
                <a:latin typeface="+mn-lt"/>
              </a:defRPr>
            </a:pPr>
            <a:r>
              <a:rPr altLang="zh-CN" b="1" lang="en-US" sz="1400">
                <a:latin typeface="+mn-lt"/>
              </a:rPr>
              <a:t>SQA</a:t>
            </a:r>
            <a:r>
              <a:rPr altLang="zh-CN" b="1" baseline="0" lang="en-US" sz="1400">
                <a:latin typeface="+mn-lt"/>
              </a:rPr>
              <a:t> PJ Jan. PL Chart </a:t>
            </a:r>
            <a:endParaRPr altLang="en-US" b="1" lang="zh-CN" sz="1400">
              <a:latin typeface="+mn-lt"/>
            </a:endParaRPr>
          </a:p>
        </rich>
      </tx>
      <overlay val="1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x val="0.1426204631472571"/>
          <y val="0.1587661606104341"/>
          <w val="0.7081271833009162"/>
          <h val="0.7290169355280706"/>
        </manualLayout>
      </layout>
      <barChart>
        <barDir val="col"/>
        <grouping val="stacked"/>
        <varyColors val="0"/>
        <ser>
          <idx val="0"/>
          <order val="0"/>
          <spPr>
            <a:noFill/>
            <a:ln w="25400">
              <a:noFill/>
              <a:prstDash val="solid"/>
            </a:ln>
          </spPr>
          <invertIfNegative val="0"/>
          <cat>
            <strRef>
              <f>Chart!$BU$3:$BU$8</f>
              <strCache>
                <ptCount val="6"/>
                <pt idx="0">
                  <v>Red</v>
                </pt>
                <pt idx="1">
                  <v>Lyon</v>
                </pt>
                <pt idx="2">
                  <v>PFX</v>
                </pt>
                <pt idx="3">
                  <v>LSI</v>
                </pt>
                <pt idx="4">
                  <v>Gloria</v>
                </pt>
                <pt idx="5">
                  <v>MBT</v>
                </pt>
              </strCache>
            </strRef>
          </cat>
          <val>
            <numRef>
              <f>Chart!$BY$3:$BY$8</f>
              <numCache>
                <formatCode>#,##0</formatCode>
                <ptCount val="6"/>
                <pt idx="0">
                  <v>0</v>
                </pt>
                <pt idx="1">
                  <v>-20.56966565011494</v>
                </pt>
                <pt idx="2">
                  <v>-20.56966565011494</v>
                </pt>
                <pt idx="3">
                  <v>51.87119363842639</v>
                </pt>
                <pt idx="4">
                  <v>51.87119363842639</v>
                </pt>
                <pt idx="5">
                  <v>65.76765984995565</v>
                </pt>
              </numCache>
            </numRef>
          </val>
        </ser>
        <ser>
          <idx val="1"/>
          <order val="1"/>
          <spPr>
            <a:solidFill>
              <a:schemeClr val="accent6">
                <a:lumMod val="40000"/>
                <a:lumOff val="60000"/>
              </a:schemeClr>
            </a:solidFill>
            <a:ln>
              <a:solidFill>
                <a:srgbClr val="000000"/>
              </a:solidFill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chemeClr val="bg2">
                  <a:lumMod val="75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Pt>
            <idx val="5"/>
            <invertIfNegative val="0"/>
            <bubble3D val="0"/>
            <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Chart!$BU$3:$BU$8</f>
              <strCache>
                <ptCount val="6"/>
                <pt idx="0">
                  <v>Red</v>
                </pt>
                <pt idx="1">
                  <v>Lyon</v>
                </pt>
                <pt idx="2">
                  <v>PFX</v>
                </pt>
                <pt idx="3">
                  <v>LSI</v>
                </pt>
                <pt idx="4">
                  <v>Gloria</v>
                </pt>
                <pt idx="5">
                  <v>MBT</v>
                </pt>
              </strCache>
            </strRef>
          </cat>
          <val>
            <numRef>
              <f>Chart!$BZ$3:$BZ$8</f>
              <numCache>
                <formatCode>#,##0</formatCode>
                <ptCount val="6"/>
                <pt idx="0">
                  <v>0</v>
                </pt>
                <pt idx="1">
                  <v>71.08457791300084</v>
                </pt>
                <pt idx="2">
                  <v>0</v>
                </pt>
                <pt idx="3">
                  <v>1.148597366694275</v>
                </pt>
                <pt idx="4">
                  <v>0</v>
                </pt>
                <pt idx="5">
                  <v>34.84876283091529</v>
                </pt>
              </numCache>
            </numRef>
          </val>
        </ser>
        <ser>
          <idx val="2"/>
          <order val="2"/>
          <spPr>
            <a:solidFill>
              <a:schemeClr val="bg2">
                <a:lumMod val="75000"/>
              </a:schemeClr>
            </a:solidFill>
            <a:ln>
              <a:solidFill>
                <a:srgbClr val="000000"/>
              </a:solidFill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Chart!$BU$3:$BU$8</f>
              <strCache>
                <ptCount val="6"/>
                <pt idx="0">
                  <v>Red</v>
                </pt>
                <pt idx="1">
                  <v>Lyon</v>
                </pt>
                <pt idx="2">
                  <v>PFX</v>
                </pt>
                <pt idx="3">
                  <v>LSI</v>
                </pt>
                <pt idx="4">
                  <v>Gloria</v>
                </pt>
                <pt idx="5">
                  <v>MBT</v>
                </pt>
              </strCache>
            </strRef>
          </cat>
          <val>
            <numRef>
              <f>Chart!$CA$3:$CA$8</f>
              <numCache>
                <formatCode>#,##0</formatCode>
                <ptCount val="6"/>
                <pt idx="0">
                  <v>50.5149122628859</v>
                </pt>
                <pt idx="1">
                  <v>0</v>
                </pt>
                <pt idx="2">
                  <v>73.58945665523561</v>
                </pt>
                <pt idx="3">
                  <v>0</v>
                </pt>
                <pt idx="4">
                  <v>48.74522904244455</v>
                </pt>
                <pt idx="5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8"/>
        <overlap val="100"/>
        <axId val="102013952"/>
        <axId val="102028032"/>
      </barChart>
      <catAx>
        <axId val="102013952"/>
        <scaling>
          <orientation val="minMax"/>
        </scaling>
        <delete val="0"/>
        <axPos val="b"/>
        <numFmt formatCode="General" sourceLinked="1"/>
        <majorTickMark val="in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+mn-lt"/>
                <a:ea typeface="宋体"/>
                <a:cs typeface="宋体"/>
              </a:defRPr>
            </a:pPr>
            <a:r>
              <a:t/>
            </a:r>
            <a:endParaRPr lang="zh-CN"/>
          </a:p>
        </txPr>
        <crossAx val="102028032"/>
        <auto val="1"/>
        <lblAlgn val="ctr"/>
        <lblOffset val="100"/>
        <tickLblSkip val="1"/>
        <tickMarkSkip val="1"/>
        <noMultiLvlLbl val="0"/>
      </catAx>
      <valAx>
        <axId val="102028032"/>
        <scaling>
          <orientation val="minMax"/>
          <min val="0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#,##0" sourceLinked="1"/>
        <majorTickMark val="in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+mn-lt"/>
                <a:ea typeface="宋体"/>
                <a:cs typeface="宋体"/>
              </a:defRPr>
            </a:pPr>
            <a:r>
              <a:t/>
            </a:r>
            <a:endParaRPr lang="zh-CN"/>
          </a:p>
        </txPr>
        <crossAx val="102013952"/>
        <crosses val="autoZero"/>
        <crossBetween val="between"/>
        <majorUnit val="20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b="1" sz="1400">
                <a:latin typeface="+mn-lt"/>
              </a:defRPr>
            </a:pPr>
            <a:r>
              <a:rPr altLang="zh-CN" b="1" lang="en-US" sz="1400">
                <a:latin typeface="+mn-lt"/>
              </a:rPr>
              <a:t>SQA</a:t>
            </a:r>
            <a:r>
              <a:rPr altLang="zh-CN" b="1" baseline="0" lang="en-US" sz="1400">
                <a:latin typeface="+mn-lt"/>
              </a:rPr>
              <a:t> PJ Feb. PL Chart </a:t>
            </a:r>
            <a:endParaRPr altLang="en-US" b="1" lang="zh-CN" sz="1400">
              <a:latin typeface="+mn-lt"/>
            </a:endParaRPr>
          </a:p>
        </rich>
      </tx>
      <overlay val="1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x val="0.1426204631472571"/>
          <y val="0.1587661606104341"/>
          <w val="0.7081271833009162"/>
          <h val="0.7290169355280706"/>
        </manualLayout>
      </layout>
      <barChart>
        <barDir val="col"/>
        <grouping val="stacked"/>
        <varyColors val="0"/>
        <ser>
          <idx val="0"/>
          <order val="0"/>
          <spPr>
            <a:noFill/>
            <a:ln w="25400">
              <a:noFill/>
              <a:prstDash val="solid"/>
            </a:ln>
          </spPr>
          <invertIfNegative val="0"/>
          <cat>
            <strRef>
              <f>Chart!$CC$3:$CC$8</f>
              <strCache>
                <ptCount val="6"/>
                <pt idx="0">
                  <v>Red</v>
                </pt>
                <pt idx="1">
                  <v>Lyon</v>
                </pt>
                <pt idx="2">
                  <v>PFX</v>
                </pt>
                <pt idx="3">
                  <v>LSI</v>
                </pt>
                <pt idx="4">
                  <v>Gloria</v>
                </pt>
                <pt idx="5">
                  <v>MBT</v>
                </pt>
              </strCache>
            </strRef>
          </cat>
          <val>
            <numRef>
              <f>Chart!$CG$3:$CG$8</f>
              <numCache>
                <formatCode>#,##0</formatCode>
                <ptCount val="6"/>
                <pt idx="0">
                  <v>0</v>
                </pt>
                <pt idx="1">
                  <v>-15.75781617296242</v>
                </pt>
                <pt idx="2">
                  <v>-15.75781617296242</v>
                </pt>
                <pt idx="3">
                  <v>29.00212097510656</v>
                </pt>
                <pt idx="4">
                  <v>34.92104719195972</v>
                </pt>
                <pt idx="5">
                  <v>30.66658505326261</v>
                </pt>
              </numCache>
            </numRef>
          </val>
        </ser>
        <ser>
          <idx val="1"/>
          <order val="1"/>
          <spPr>
            <a:solidFill>
              <a:schemeClr val="accent6">
                <a:lumMod val="40000"/>
                <a:lumOff val="60000"/>
              </a:schemeClr>
            </a:solidFill>
            <a:ln>
              <a:solidFill>
                <a:srgbClr val="000000"/>
              </a:solidFill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chemeClr val="bg2">
                  <a:lumMod val="75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Pt>
            <idx val="5"/>
            <invertIfNegative val="0"/>
            <bubble3D val="0"/>
            <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Chart!$CC$3:$CC$8</f>
              <strCache>
                <ptCount val="6"/>
                <pt idx="0">
                  <v>Red</v>
                </pt>
                <pt idx="1">
                  <v>Lyon</v>
                </pt>
                <pt idx="2">
                  <v>PFX</v>
                </pt>
                <pt idx="3">
                  <v>LSI</v>
                </pt>
                <pt idx="4">
                  <v>Gloria</v>
                </pt>
                <pt idx="5">
                  <v>MBT</v>
                </pt>
              </strCache>
            </strRef>
          </cat>
          <val>
            <numRef>
              <f>Chart!$CH$3:$CH$8</f>
              <numCache>
                <formatCode>#,##0</formatCode>
                <ptCount val="6"/>
                <pt idx="0">
                  <v>0</v>
                </pt>
                <pt idx="1">
                  <v>70.21133552509595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54.63385966658217</v>
                </pt>
              </numCache>
            </numRef>
          </val>
        </ser>
        <ser>
          <idx val="2"/>
          <order val="2"/>
          <spPr>
            <a:solidFill>
              <a:schemeClr val="bg2">
                <a:lumMod val="75000"/>
              </a:schemeClr>
            </a:solidFill>
            <a:ln>
              <a:solidFill>
                <a:srgbClr val="000000"/>
              </a:solidFill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Chart!$CC$3:$CC$8</f>
              <strCache>
                <ptCount val="6"/>
                <pt idx="0">
                  <v>Red</v>
                </pt>
                <pt idx="1">
                  <v>Lyon</v>
                </pt>
                <pt idx="2">
                  <v>PFX</v>
                </pt>
                <pt idx="3">
                  <v>LSI</v>
                </pt>
                <pt idx="4">
                  <v>Gloria</v>
                </pt>
                <pt idx="5">
                  <v>MBT</v>
                </pt>
              </strCache>
            </strRef>
          </cat>
          <val>
            <numRef>
              <f>Chart!$CI$3:$CI$8</f>
              <numCache>
                <formatCode>#,##0</formatCode>
                <ptCount val="6"/>
                <pt idx="0">
                  <v>54.45351935213353</v>
                </pt>
                <pt idx="1">
                  <v>0</v>
                </pt>
                <pt idx="2">
                  <v>44.75993714806899</v>
                </pt>
                <pt idx="3">
                  <v>5.918926216853151</v>
                </pt>
                <pt idx="4">
                  <v>50.37939752788506</v>
                </pt>
                <pt idx="5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8"/>
        <overlap val="100"/>
        <axId val="102043648"/>
        <axId val="102045184"/>
      </barChart>
      <catAx>
        <axId val="102043648"/>
        <scaling>
          <orientation val="minMax"/>
        </scaling>
        <delete val="0"/>
        <axPos val="b"/>
        <numFmt formatCode="General" sourceLinked="1"/>
        <majorTickMark val="in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+mn-lt"/>
                <a:ea typeface="宋体"/>
                <a:cs typeface="宋体"/>
              </a:defRPr>
            </a:pPr>
            <a:r>
              <a:t/>
            </a:r>
            <a:endParaRPr lang="zh-CN"/>
          </a:p>
        </txPr>
        <crossAx val="102045184"/>
        <auto val="1"/>
        <lblAlgn val="ctr"/>
        <lblOffset val="100"/>
        <tickLblSkip val="1"/>
        <tickMarkSkip val="1"/>
        <noMultiLvlLbl val="0"/>
      </catAx>
      <valAx>
        <axId val="102045184"/>
        <scaling>
          <orientation val="minMax"/>
          <min val="0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#,##0" sourceLinked="1"/>
        <majorTickMark val="in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+mn-lt"/>
                <a:ea typeface="宋体"/>
                <a:cs typeface="宋体"/>
              </a:defRPr>
            </a:pPr>
            <a:r>
              <a:t/>
            </a:r>
            <a:endParaRPr lang="zh-CN"/>
          </a:p>
        </txPr>
        <crossAx val="102043648"/>
        <crosses val="autoZero"/>
        <crossBetween val="between"/>
        <majorUnit val="20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b="1" sz="1400">
                <a:latin typeface="+mn-lt"/>
              </a:defRPr>
            </a:pPr>
            <a:r>
              <a:rPr altLang="zh-CN" b="1" lang="en-US" sz="1400">
                <a:latin typeface="+mn-lt"/>
              </a:rPr>
              <a:t>SQA</a:t>
            </a:r>
            <a:r>
              <a:rPr altLang="zh-CN" b="1" baseline="0" lang="en-US" sz="1400">
                <a:latin typeface="+mn-lt"/>
              </a:rPr>
              <a:t> PJ Mar. PL Chart </a:t>
            </a:r>
            <a:endParaRPr altLang="en-US" b="1" lang="zh-CN" sz="1400">
              <a:latin typeface="+mn-lt"/>
            </a:endParaRPr>
          </a:p>
        </rich>
      </tx>
      <overlay val="1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x val="0.1426204631472571"/>
          <y val="0.1587661606104341"/>
          <w val="0.7081271833009162"/>
          <h val="0.7290169355280706"/>
        </manualLayout>
      </layout>
      <barChart>
        <barDir val="col"/>
        <grouping val="stacked"/>
        <varyColors val="0"/>
        <ser>
          <idx val="0"/>
          <order val="0"/>
          <spPr>
            <a:noFill/>
            <a:ln w="25400">
              <a:noFill/>
              <a:prstDash val="solid"/>
            </a:ln>
          </spPr>
          <invertIfNegative val="0"/>
          <cat>
            <strRef>
              <f>Chart!$CK$3:$CK$8</f>
              <strCache>
                <ptCount val="6"/>
                <pt idx="0">
                  <v>Red</v>
                </pt>
                <pt idx="1">
                  <v>Lyon</v>
                </pt>
                <pt idx="2">
                  <v>PFX</v>
                </pt>
                <pt idx="3">
                  <v>LSI</v>
                </pt>
                <pt idx="4">
                  <v>Gloria</v>
                </pt>
                <pt idx="5">
                  <v>MBT</v>
                </pt>
              </strCache>
            </strRef>
          </cat>
          <val>
            <numRef>
              <f>Chart!$CO$3:$CO$8</f>
              <numCache>
                <formatCode>#,##0</formatCode>
                <ptCount val="6"/>
                <pt idx="0">
                  <v>-31.71653068758883</v>
                </pt>
                <pt idx="1">
                  <v>-134.8720240400587</v>
                </pt>
                <pt idx="2">
                  <v>-134.8720240400587</v>
                </pt>
                <pt idx="3">
                  <v>-283.9393952591303</v>
                </pt>
                <pt idx="4">
                  <v>-283.9393952591303</v>
                </pt>
                <pt idx="5">
                  <v>-383.3770175072663</v>
                </pt>
              </numCache>
            </numRef>
          </val>
        </ser>
        <ser>
          <idx val="1"/>
          <order val="1"/>
          <spPr>
            <a:solidFill>
              <a:schemeClr val="accent6">
                <a:lumMod val="40000"/>
                <a:lumOff val="60000"/>
              </a:schemeClr>
            </a:solidFill>
            <a:ln>
              <a:solidFill>
                <a:srgbClr val="000000"/>
              </a:solidFill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chemeClr val="bg2">
                  <a:lumMod val="75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Pt>
            <idx val="5"/>
            <invertIfNegative val="0"/>
            <bubble3D val="0"/>
            <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Chart!$CK$3:$CK$8</f>
              <strCache>
                <ptCount val="6"/>
                <pt idx="0">
                  <v>Red</v>
                </pt>
                <pt idx="1">
                  <v>Lyon</v>
                </pt>
                <pt idx="2">
                  <v>PFX</v>
                </pt>
                <pt idx="3">
                  <v>LSI</v>
                </pt>
                <pt idx="4">
                  <v>Gloria</v>
                </pt>
                <pt idx="5">
                  <v>MBT</v>
                </pt>
              </strCache>
            </strRef>
          </cat>
          <val>
            <numRef>
              <f>Chart!$CP$3:$CP$8</f>
              <numCache>
                <formatCode>#,##0</formatCode>
                <ptCount val="6"/>
                <pt idx="0">
                  <v>31.71653068758883</v>
                </pt>
                <pt idx="1">
                  <v>103.1554933524699</v>
                </pt>
                <pt idx="2">
                  <v>0</v>
                </pt>
                <pt idx="3">
                  <v>176.1270710463275</v>
                </pt>
                <pt idx="4">
                  <v>0</v>
                </pt>
                <pt idx="5">
                  <v>108.3049444171696</v>
                </pt>
              </numCache>
            </numRef>
          </val>
        </ser>
        <ser>
          <idx val="2"/>
          <order val="2"/>
          <spPr>
            <a:solidFill>
              <a:schemeClr val="bg2">
                <a:lumMod val="75000"/>
              </a:schemeClr>
            </a:solidFill>
            <a:ln>
              <a:solidFill>
                <a:srgbClr val="000000"/>
              </a:solidFill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Chart!$CK$3:$CK$8</f>
              <strCache>
                <ptCount val="6"/>
                <pt idx="0">
                  <v>Red</v>
                </pt>
                <pt idx="1">
                  <v>Lyon</v>
                </pt>
                <pt idx="2">
                  <v>PFX</v>
                </pt>
                <pt idx="3">
                  <v>LSI</v>
                </pt>
                <pt idx="4">
                  <v>Gloria</v>
                </pt>
                <pt idx="5">
                  <v>MBT</v>
                </pt>
              </strCache>
            </strRef>
          </cat>
          <val>
            <numRef>
              <f>Chart!$CQ$3:$CQ$8</f>
              <numCache>
                <formatCode>#,##0</formatCode>
                <ptCount val="6"/>
                <pt idx="0">
                  <v>0</v>
                </pt>
                <pt idx="1">
                  <v>0</v>
                </pt>
                <pt idx="2">
                  <v>27.05969982725595</v>
                </pt>
                <pt idx="3">
                  <v>0</v>
                </pt>
                <pt idx="4">
                  <v>8.867322169033628</v>
                </pt>
                <pt idx="5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8"/>
        <overlap val="100"/>
        <axId val="102097664"/>
        <axId val="102099200"/>
      </barChart>
      <catAx>
        <axId val="102097664"/>
        <scaling>
          <orientation val="minMax"/>
        </scaling>
        <delete val="0"/>
        <axPos val="b"/>
        <numFmt formatCode="General" sourceLinked="1"/>
        <majorTickMark val="in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+mn-lt"/>
                <a:ea typeface="宋体"/>
                <a:cs typeface="宋体"/>
              </a:defRPr>
            </a:pPr>
            <a:r>
              <a:t/>
            </a:r>
            <a:endParaRPr lang="zh-CN"/>
          </a:p>
        </txPr>
        <crossAx val="102099200"/>
        <auto val="1"/>
        <lblAlgn val="ctr"/>
        <lblOffset val="100"/>
        <tickLblSkip val="1"/>
        <tickMarkSkip val="1"/>
        <noMultiLvlLbl val="0"/>
      </catAx>
      <valAx>
        <axId val="102099200"/>
        <scaling>
          <orientation val="minMax"/>
          <min val="0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#,##0" sourceLinked="1"/>
        <majorTickMark val="in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+mn-lt"/>
                <a:ea typeface="宋体"/>
                <a:cs typeface="宋体"/>
              </a:defRPr>
            </a:pPr>
            <a:r>
              <a:t/>
            </a:r>
            <a:endParaRPr lang="zh-CN"/>
          </a:p>
        </txPr>
        <crossAx val="102097664"/>
        <crosses val="autoZero"/>
        <crossBetween val="between"/>
        <majorUnit val="200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altLang="zh-CN" b="1" baseline="0" i="0" lang="en-US" sz="1400">
                <effectLst/>
              </a:rPr>
              <a:t>12272</a:t>
            </a:r>
            <a:r>
              <a:rPr altLang="en-US" b="1" baseline="0" i="0" lang="zh-CN" sz="1400">
                <effectLst/>
              </a:rPr>
              <a:t> </a:t>
            </a:r>
            <a:r>
              <a:rPr altLang="zh-CN" b="1" baseline="0" i="0" lang="en-US" sz="1400">
                <effectLst/>
              </a:rPr>
              <a:t>PL for 3 months</a:t>
            </a:r>
            <a:endParaRPr altLang="zh-CN" lang="zh-CN" sz="1400">
              <effectLst/>
            </a:endParaRPr>
          </a:p>
        </rich>
      </tx>
      <overlay val="0"/>
    </title>
    <plotArea>
      <layout>
        <manualLayout>
          <layoutTarget val="inner"/>
          <xMode val="edge"/>
          <yMode val="edge"/>
          <x val="0.08716583511906165"/>
          <y val="0.09166817469534506"/>
          <w val="0.8814013266527837"/>
          <h val="0.7761027335422699"/>
        </manualLayout>
      </layout>
      <barChart>
        <barDir val="col"/>
        <grouping val="stacked"/>
        <varyColors val="0"/>
        <ser>
          <idx val="0"/>
          <order val="0"/>
          <tx>
            <strRef>
              <f>Chart2!$A$34</f>
              <strCache>
                <ptCount val="1"/>
                <pt idx="0">
                  <v>Revenue</v>
                </pt>
              </strCache>
            </strRef>
          </tx>
          <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Chart2!$B$43:$N$44</f>
            </multiLvlStrRef>
          </cat>
          <val>
            <numRef>
              <f>Chart2!$B$34:$N$34</f>
              <numCache>
                <formatCode>#,##0_ </formatCode>
                <ptCount val="13"/>
                <pt idx="1">
                  <v>1053.243</v>
                </pt>
                <pt idx="2">
                  <v>1062.045</v>
                </pt>
                <pt idx="3">
                  <v>1081.82733</v>
                </pt>
              </numCache>
            </numRef>
          </val>
        </ser>
        <ser>
          <idx val="1"/>
          <order val="1"/>
          <tx>
            <strRef>
              <f>Chart2!$A$24</f>
              <strCache>
                <ptCount val="1"/>
                <pt idx="0">
                  <v>Personnel</v>
                </pt>
              </strCache>
            </strRef>
          </tx>
          <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Chart2!$B$43:$N$44</f>
            </multiLvlStrRef>
          </cat>
          <val>
            <numRef>
              <f>Chart2!$B$24:$N$24</f>
              <numCache>
                <formatCode>#,##0_ </formatCode>
                <ptCount val="13"/>
                <pt idx="5">
                  <v>147.87578</v>
                </pt>
                <pt idx="6">
                  <v>224.06965</v>
                </pt>
                <pt idx="7">
                  <v>87.81115999999997</v>
                </pt>
              </numCache>
            </numRef>
          </val>
        </ser>
        <ser>
          <idx val="2"/>
          <order val="2"/>
          <tx>
            <strRef>
              <f>Chart2!$A$25</f>
              <strCache>
                <ptCount val="1"/>
                <pt idx="0">
                  <v>OS</v>
                </pt>
              </strCache>
            </strRef>
          </tx>
          <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Chart2!$B$43:$N$44</f>
            </multiLvlStrRef>
          </cat>
          <val>
            <numRef>
              <f>Chart2!$B$25:$N$25</f>
              <numCache>
                <formatCode>#,##0_ </formatCode>
                <ptCount val="13"/>
                <pt idx="5">
                  <v>659.171</v>
                </pt>
                <pt idx="6">
                  <v>621.0662</v>
                </pt>
                <pt idx="7">
                  <v>572.5026</v>
                </pt>
              </numCache>
            </numRef>
          </val>
        </ser>
        <ser>
          <idx val="3"/>
          <order val="3"/>
          <tx>
            <strRef>
              <f>Chart2!$A$27</f>
              <strCache>
                <ptCount val="1"/>
                <pt idx="0">
                  <v>Rental</v>
                </pt>
              </strCache>
            </strRef>
          </tx>
          <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Chart2!$B$43:$N$44</f>
            </multiLvlStrRef>
          </cat>
          <val>
            <numRef>
              <f>Chart2!$B$27:$N$27</f>
              <numCache>
                <formatCode>#,##0_ </formatCode>
                <ptCount val="13"/>
                <pt idx="5">
                  <v>27.83549</v>
                </pt>
                <pt idx="6">
                  <v>23.40161753731343</v>
                </pt>
                <pt idx="7">
                  <v>33.1059543283582</v>
                </pt>
              </numCache>
            </numRef>
          </val>
        </ser>
        <ser>
          <idx val="4"/>
          <order val="4"/>
          <tx>
            <strRef>
              <f>Chart2!$A$29</f>
              <strCache>
                <ptCount val="1"/>
                <pt idx="0">
                  <v>IS (Infra+Service)</v>
                </pt>
              </strCache>
            </strRef>
          </tx>
          <spPr>
            <a:solidFill>
              <a:srgbClr val="4BACC6"/>
            </a:solidFill>
            <a:ln w="28575"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Chart2!$B$43:$N$44</f>
            </multiLvlStrRef>
          </cat>
          <val>
            <numRef>
              <f>Chart2!$B$29:$N$29</f>
              <numCache>
                <formatCode>#,##0_ </formatCode>
                <ptCount val="13"/>
                <pt idx="5">
                  <v>39.3239</v>
                </pt>
                <pt idx="6">
                  <v>39.23264</v>
                </pt>
                <pt idx="7">
                  <v>39.23264</v>
                </pt>
              </numCache>
            </numRef>
          </val>
        </ser>
        <ser>
          <idx val="5"/>
          <order val="5"/>
          <tx>
            <strRef>
              <f>Chart2!$A$30</f>
              <strCache>
                <ptCount val="1"/>
                <pt idx="0">
                  <v>Schina Allocation</v>
                </pt>
              </strCache>
            </strRef>
          </tx>
          <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Chart2!$B$43:$N$44</f>
            </multiLvlStrRef>
          </cat>
          <val>
            <numRef>
              <f>Chart2!$B$30:$N$30</f>
              <numCache>
                <formatCode>#,##0_ </formatCode>
                <ptCount val="13"/>
                <pt idx="5">
                  <v>29.23790175824177</v>
                </pt>
                <pt idx="6">
                  <v>24.69502703910615</v>
                </pt>
                <pt idx="7">
                  <v>95.54979780219782</v>
                </pt>
              </numCache>
            </numRef>
          </val>
        </ser>
        <ser>
          <idx val="6"/>
          <order val="6"/>
          <tx>
            <strRef>
              <f>Chart2!$A$33</f>
              <strCache>
                <ptCount val="1"/>
                <pt idx="0">
                  <v>CSC Allocation</v>
                </pt>
              </strCache>
            </strRef>
          </tx>
          <spPr>
            <a:solidFill>
              <a:srgbClr val="00FFFF"/>
            </a:solidFill>
            <a:ln w="0">
              <a:solidFill>
                <a:sysClr lastClr="000000" val="windowText"/>
              </a:solidFill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Chart2!$B$43:$N$44</f>
            </multiLvlStrRef>
          </cat>
          <val>
            <numRef>
              <f>Chart2!$B$33:$N$33</f>
              <numCache>
                <formatCode>#,##0_ </formatCode>
                <ptCount val="13"/>
                <pt idx="5">
                  <v>90.76276444366309</v>
                </pt>
                <pt idx="6">
                  <v>91.82917000452414</v>
                </pt>
                <pt idx="7">
                  <v>111.8320819403139</v>
                </pt>
              </numCache>
            </numRef>
          </val>
        </ser>
        <ser>
          <idx val="7"/>
          <order val="7"/>
          <tx>
            <strRef>
              <f>Chart2!$A$31</f>
              <strCache>
                <ptCount val="1"/>
                <pt idx="0">
                  <v>Travelling </v>
                </pt>
              </strCache>
            </strRef>
          </tx>
          <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Chart2!$B$43:$N$44</f>
            </multiLvlStrRef>
          </cat>
          <val>
            <numRef>
              <f>Chart2!$B$31:$N$31</f>
              <numCache>
                <formatCode>#,##0_ </formatCode>
                <ptCount val="13"/>
                <pt idx="5">
                  <v>19.75808</v>
                </pt>
                <pt idx="6">
                  <v>17.18488</v>
                </pt>
                <pt idx="7">
                  <v>7.322220000000001</v>
                </pt>
              </numCache>
            </numRef>
          </val>
        </ser>
        <ser>
          <idx val="8"/>
          <order val="8"/>
          <tx>
            <strRef>
              <f>Chart2!$A$32</f>
              <strCache>
                <ptCount val="1"/>
                <pt idx="0">
                  <v>Other SGA</v>
                </pt>
              </strCache>
            </strRef>
          </tx>
          <spPr>
            <a:solidFill>
              <a:srgbClr val="CCCCFF"/>
            </a:solidFill>
            <a:ln w="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Chart2!$B$43:$N$44</f>
            </multiLvlStrRef>
          </cat>
          <val>
            <numRef>
              <f>Chart2!$B$32:$N$32</f>
              <numCache>
                <formatCode>#,##0_ </formatCode>
                <ptCount val="13"/>
                <pt idx="5">
                  <v>108.1427942105263</v>
                </pt>
                <pt idx="6">
                  <v>65.68060526119402</v>
                </pt>
                <pt idx="7">
                  <v>53.19980604477612</v>
                </pt>
              </numCache>
            </numRef>
          </val>
        </ser>
        <ser>
          <idx val="9"/>
          <order val="9"/>
          <tx>
            <strRef>
              <f>Chart2!$A$28</f>
              <strCache>
                <ptCount val="1"/>
                <pt idx="0">
                  <v>CAD</v>
                </pt>
              </strCache>
            </strRef>
          </tx>
          <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Chart2!$B$43:$N$44</f>
            </multiLvlStrRef>
          </cat>
          <val>
            <numRef>
              <f>Chart2!$B$28:$N$28</f>
              <numCache>
                <formatCode>#,##0_ </formatCode>
                <ptCount val="13"/>
                <pt idx="5">
                  <v>5.455067924528299</v>
                </pt>
                <pt idx="6">
                  <v>6.499387735849055</v>
                </pt>
                <pt idx="7">
                  <v>6.609539306930695</v>
                </pt>
              </numCache>
            </numRef>
          </val>
        </ser>
        <ser>
          <idx val="10"/>
          <order val="10"/>
          <tx>
            <strRef>
              <f>Chart2!$A$26</f>
              <strCache>
                <ptCount val="1"/>
                <pt idx="0">
                  <v>Depreciation</v>
                </pt>
              </strCache>
            </strRef>
          </tx>
          <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Chart2!$B$43:$N$44</f>
            </multiLvlStrRef>
          </cat>
          <val>
            <numRef>
              <f>Chart2!$B$26:$N$26</f>
              <numCache>
                <formatCode>#,##0_ </formatCode>
                <ptCount val="13"/>
                <pt idx="5">
                  <v>0.4580399999999999</v>
                </pt>
                <pt idx="6">
                  <v>0.45805</v>
                </pt>
                <pt idx="7">
                  <v>0.4580400000000001</v>
                </pt>
              </numCache>
            </numRef>
          </val>
        </ser>
        <ser>
          <idx val="11"/>
          <order val="11"/>
          <tx>
            <strRef>
              <f>Chart2!$A$35</f>
              <strCache>
                <ptCount val="1"/>
                <pt idx="0">
                  <v>Profit</v>
                </pt>
              </strCache>
            </strRef>
          </tx>
          <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Chart2!$B$43:$N$44</f>
            </multiLvlStrRef>
          </cat>
          <val>
            <numRef>
              <f>Chart2!$B$35:$N$35</f>
              <numCache>
                <formatCode>#,##0_ </formatCode>
                <ptCount val="13"/>
                <pt idx="9">
                  <v>-74.77781833695963</v>
                </pt>
                <pt idx="10">
                  <v>-52.07222757798672</v>
                </pt>
                <pt idx="11">
                  <v>74.20349057742351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0"/>
        <overlap val="100"/>
        <axId val="102176256"/>
        <axId val="102177792"/>
      </barChart>
      <lineChart>
        <grouping val="standard"/>
        <varyColors val="0"/>
        <ser>
          <idx val="12"/>
          <order val="12"/>
          <tx>
            <strRef>
              <f>Chart2!$A$37</f>
              <strCache>
                <ptCount val="1"/>
                <pt idx="0">
                  <v> Total </v>
                </pt>
              </strCache>
            </strRef>
          </tx>
          <spPr>
            <a:ln w="28575">
              <a:noFill/>
              <a:prstDash val="solid"/>
            </a:ln>
          </spPr>
          <marker>
            <symbol val="dot"/>
            <size val="2"/>
            <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spPr>
          </marker>
          <dLbls>
            <dLbl>
              <idx val="0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4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5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6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7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9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0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1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b="1" lang="zh-CN" sz="1100">
                    <a:solidFill>
                      <a:srgbClr val="C00000"/>
                    </a:solidFill>
                  </a:defRPr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Chart2!$B$43:$M$44</f>
            </multiLvlStrRef>
          </cat>
          <val>
            <numRef>
              <f>Chart2!$B$37:$N$37</f>
              <numCache>
                <formatCode>_ * #,##0_ ;_ * \-#,##0_ ;_ * "-"??_ ;_ @_ </formatCode>
                <ptCount val="13"/>
                <pt idx="1">
                  <v>1053.243</v>
                </pt>
                <pt idx="2">
                  <v>1062.045</v>
                </pt>
                <pt idx="3">
                  <v>1081.82733</v>
                </pt>
                <pt idx="5">
                  <v>1128.02081833696</v>
                </pt>
                <pt idx="6">
                  <v>1114.117227577987</v>
                </pt>
                <pt idx="7">
                  <v>1007.623839422577</v>
                </pt>
                <pt idx="9">
                  <v>-74.77781833695963</v>
                </pt>
                <pt idx="10">
                  <v>-52.07222757798672</v>
                </pt>
                <pt idx="11">
                  <v>74.20349057742351</v>
                </pt>
              </numCache>
            </numRef>
          </val>
          <smooth val="0"/>
        </ser>
        <ser>
          <idx val="13"/>
          <order val="13"/>
          <tx>
            <strRef>
              <f>Chart2!$A$36</f>
              <strCache>
                <ptCount val="1"/>
                <pt idx="0">
                  <v> PL% </v>
                </pt>
              </strCache>
            </strRef>
          </tx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dPt>
            <idx val="9"/>
            <bubble3D val="0"/>
            <spPr>
              <a:ln>
                <a:prstDash val="solid"/>
              </a:ln>
            </spPr>
          </dPt>
          <dLbls>
            <dLbl>
              <idx val="9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1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Chart2!$B$43:$M$44</f>
            </multiLvlStrRef>
          </cat>
          <val>
            <numRef>
              <f>Chart2!$B$36:$N$36</f>
              <numCache>
                <formatCode>#,##0_ </formatCode>
                <ptCount val="13"/>
                <pt idx="9">
                  <formatCode>0.00%</formatCode>
                  <v>-0.07099768841279708</v>
                </pt>
                <pt idx="10">
                  <formatCode>0.00%</formatCode>
                  <v>-0.04903015180899747</v>
                </pt>
                <pt idx="11">
                  <formatCode>0.00%</formatCode>
                  <v>0.0685908818530435</v>
                </pt>
              </numCache>
            </numRef>
          </val>
          <smooth val="0"/>
        </ser>
        <dLbls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02176256"/>
        <axId val="102177792"/>
      </lineChart>
      <catAx>
        <axId val="10217625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zh-CN"/>
            </a:pPr>
            <a:r>
              <a:t/>
            </a:r>
            <a:endParaRPr lang="zh-CN"/>
          </a:p>
        </txPr>
        <crossAx val="102177792"/>
        <crosses val="autoZero"/>
        <auto val="1"/>
        <lblAlgn val="ctr"/>
        <lblOffset val="100"/>
        <tickLblSkip val="1"/>
        <tickMarkSkip val="1"/>
        <noMultiLvlLbl val="0"/>
      </catAx>
      <valAx>
        <axId val="102177792"/>
        <scaling>
          <orientation val="minMax"/>
        </scaling>
        <delete val="0"/>
        <axPos val="l"/>
        <majorGridlines>
          <spPr>
            <a:ln w="3175">
              <a:solidFill>
                <a:srgbClr val="C0C0C0"/>
              </a:solidFill>
              <a:prstDash val="sysDash"/>
            </a:ln>
          </spPr>
        </majorGridlines>
        <numFmt formatCode="#,##0_ " sourceLinked="1"/>
        <majorTickMark val="in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zh-CN"/>
            </a:pPr>
            <a:r>
              <a:t/>
            </a:r>
            <a:endParaRPr lang="zh-CN"/>
          </a:p>
        </txPr>
        <crossAx val="102176256"/>
        <crosses val="autoZero"/>
        <crossBetween val="between"/>
      </valAx>
    </plotArea>
    <legend>
      <legendPos val="b"/>
      <legendEntry>
        <idx val="0"/>
        <delete val="1"/>
      </legendEntry>
      <legendEntry>
        <idx val="11"/>
        <delete val="1"/>
      </legendEntry>
      <legendEntry>
        <idx val="12"/>
        <delete val="1"/>
      </legendEntry>
      <legendEntry>
        <idx val="13"/>
        <delete val="1"/>
      </legendEntry>
      <layout>
        <manualLayout>
          <xMode val="edge"/>
          <yMode val="edge"/>
          <x val="0.1344879992268435"/>
          <y val="0.8872496874273604"/>
          <w val="0.7562341602593876"/>
          <h val="0.09331636611878281"/>
        </manualLayout>
      </layout>
      <overlay val="0"/>
      <spPr>
        <a:ln>
          <a:solidFill>
            <a:srgbClr val="4F81BD"/>
          </a:solidFill>
          <a:prstDash val="solid"/>
        </a:ln>
      </spPr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altLang="zh-CN" b="1" baseline="0" i="0" lang="en-US" sz="1400">
                <effectLst/>
              </a:rPr>
              <a:t>SET PL for 3 months</a:t>
            </a:r>
            <a:endParaRPr altLang="zh-CN" lang="zh-CN" sz="1400">
              <effectLst/>
            </a:endParaRPr>
          </a:p>
        </rich>
      </tx>
      <overlay val="0"/>
    </title>
    <plotArea>
      <layout>
        <manualLayout>
          <layoutTarget val="inner"/>
          <xMode val="edge"/>
          <yMode val="edge"/>
          <x val="0.06974201916528212"/>
          <y val="0.08747726640522235"/>
          <w val="0.9129431653887127"/>
          <h val="0.764140977991407"/>
        </manualLayout>
      </layout>
      <barChart>
        <barDir val="col"/>
        <grouping val="stacked"/>
        <varyColors val="0"/>
        <ser>
          <idx val="0"/>
          <order val="0"/>
          <tx>
            <strRef>
              <f>Chart2!$A$14</f>
              <strCache>
                <ptCount val="1"/>
                <pt idx="0">
                  <v>Revenue</v>
                </pt>
              </strCache>
            </strRef>
          </tx>
          <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delete val="1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Chart2!$B$2:$N$3</f>
            </multiLvlStrRef>
          </cat>
          <val>
            <numRef>
              <f>Chart2!$B$14:$N$14</f>
              <numCache>
                <formatCode>#,##0_ </formatCode>
                <ptCount val="13"/>
                <pt idx="1">
                  <v>1437.96444</v>
                </pt>
                <pt idx="2">
                  <v>1503.80199</v>
                </pt>
                <pt idx="3">
                  <v>1805.76204</v>
                </pt>
              </numCache>
            </numRef>
          </val>
        </ser>
        <ser>
          <idx val="1"/>
          <order val="1"/>
          <tx>
            <strRef>
              <f>Chart2!$A$4</f>
              <strCache>
                <ptCount val="1"/>
                <pt idx="0">
                  <v>Personnel</v>
                </pt>
              </strCache>
            </strRef>
          </tx>
          <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Chart2!$B$2:$N$3</f>
            </multiLvlStrRef>
          </cat>
          <val>
            <numRef>
              <f>Chart2!$B$4:$N$4</f>
              <numCache>
                <formatCode>#,##0_ </formatCode>
                <ptCount val="13"/>
                <pt idx="5">
                  <v>366.90409225</v>
                </pt>
                <pt idx="6">
                  <v>443.26768225</v>
                </pt>
                <pt idx="7">
                  <v>246.0721122499999</v>
                </pt>
              </numCache>
            </numRef>
          </val>
        </ser>
        <ser>
          <idx val="2"/>
          <order val="2"/>
          <tx>
            <strRef>
              <f>Chart2!$A$5</f>
              <strCache>
                <ptCount val="1"/>
                <pt idx="0">
                  <v>OS</v>
                </pt>
              </strCache>
            </strRef>
          </tx>
          <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Chart2!$B$2:$N$3</f>
            </multiLvlStrRef>
          </cat>
          <val>
            <numRef>
              <f>Chart2!$B$5:$N$5</f>
              <numCache>
                <formatCode>#,##0_ </formatCode>
                <ptCount val="13"/>
                <pt idx="5">
                  <v>775.056</v>
                </pt>
                <pt idx="6">
                  <v>731.6801999999999</v>
                </pt>
                <pt idx="7">
                  <v>744.8776</v>
                </pt>
              </numCache>
            </numRef>
          </val>
        </ser>
        <ser>
          <idx val="3"/>
          <order val="3"/>
          <tx>
            <strRef>
              <f>Chart2!$A$10</f>
              <strCache>
                <ptCount val="1"/>
                <pt idx="0">
                  <v>Schina Allocation</v>
                </pt>
              </strCache>
            </strRef>
          </tx>
          <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Chart2!$B$2:$N$3</f>
            </multiLvlStrRef>
          </cat>
          <val>
            <numRef>
              <f>Chart2!$B$10:$N$10</f>
              <numCache>
                <formatCode>#,##0_ </formatCode>
                <ptCount val="13"/>
                <pt idx="5">
                  <v>58.47580351648354</v>
                </pt>
                <pt idx="6">
                  <v>51.63505653631286</v>
                </pt>
                <pt idx="7">
                  <v>210.2095551648352</v>
                </pt>
              </numCache>
            </numRef>
          </val>
        </ser>
        <ser>
          <idx val="4"/>
          <order val="4"/>
          <tx>
            <strRef>
              <f>Chart2!$A$9</f>
              <strCache>
                <ptCount val="1"/>
                <pt idx="0">
                  <v>IS (Infra+Service)</v>
                </pt>
              </strCache>
            </strRef>
          </tx>
          <spPr>
            <a:solidFill>
              <a:srgbClr val="4BACC6"/>
            </a:solidFill>
            <a:ln w="9525">
              <a:solidFill>
                <a:sysClr lastClr="000000" val="windowText"/>
              </a:solidFill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Chart2!$B$2:$N$3</f>
            </multiLvlStrRef>
          </cat>
          <val>
            <numRef>
              <f>Chart2!$B$9:$N$9</f>
              <numCache>
                <formatCode>#,##0_ </formatCode>
                <ptCount val="13"/>
                <pt idx="5">
                  <v>62.488598</v>
                </pt>
                <pt idx="6">
                  <v>64.33702846153847</v>
                </pt>
                <pt idx="7">
                  <v>63.76299666666666</v>
                </pt>
              </numCache>
            </numRef>
          </val>
        </ser>
        <ser>
          <idx val="5"/>
          <order val="5"/>
          <tx>
            <strRef>
              <f>Chart2!$A$7</f>
              <strCache>
                <ptCount val="1"/>
                <pt idx="0">
                  <v>Rental</v>
                </pt>
              </strCache>
            </strRef>
          </tx>
          <spPr>
            <a:solidFill>
              <a:srgbClr val="CCECFF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Chart2!$B$2:$N$3</f>
            </multiLvlStrRef>
          </cat>
          <val>
            <numRef>
              <f>Chart2!$B$7:$N$7</f>
              <numCache>
                <formatCode>#,##0_ </formatCode>
                <ptCount val="13"/>
                <pt idx="5">
                  <v>35.48964238095239</v>
                </pt>
                <pt idx="6">
                  <v>33.38449851243782</v>
                </pt>
                <pt idx="7">
                  <v>45.90805964179104</v>
                </pt>
              </numCache>
            </numRef>
          </val>
        </ser>
        <ser>
          <idx val="6"/>
          <order val="6"/>
          <tx>
            <strRef>
              <f>Chart2!$A$12</f>
              <strCache>
                <ptCount val="1"/>
                <pt idx="0">
                  <v>Other SGA</v>
                </pt>
              </strCache>
            </strRef>
          </tx>
          <spPr>
            <a:solidFill>
              <a:srgbClr val="00B050"/>
            </a:solidFill>
            <a:ln w="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Chart2!$B$2:$N$3</f>
            </multiLvlStrRef>
          </cat>
          <val>
            <numRef>
              <f>Chart2!$B$12:$N$12</f>
              <numCache>
                <formatCode>#,##0_ </formatCode>
                <ptCount val="13"/>
                <pt idx="5">
                  <v>136.3853132781955</v>
                </pt>
                <pt idx="6">
                  <v>72.08798705223879</v>
                </pt>
                <pt idx="7">
                  <v>58.11164129850746</v>
                </pt>
              </numCache>
            </numRef>
          </val>
        </ser>
        <ser>
          <idx val="7"/>
          <order val="7"/>
          <tx>
            <strRef>
              <f>Chart2!$A$11</f>
              <strCache>
                <ptCount val="1"/>
                <pt idx="0">
                  <v>Travelling </v>
                </pt>
              </strCache>
            </strRef>
          </tx>
          <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Chart2!$B$2:$N$3</f>
            </multiLvlStrRef>
          </cat>
          <val>
            <numRef>
              <f>Chart2!$B$11:$N$11</f>
              <numCache>
                <formatCode>#,##0_ </formatCode>
                <ptCount val="13"/>
                <pt idx="5">
                  <v>45.74639000000001</v>
                </pt>
                <pt idx="6">
                  <v>32.462768</v>
                </pt>
                <pt idx="7">
                  <v>20.888972</v>
                </pt>
              </numCache>
            </numRef>
          </val>
        </ser>
        <ser>
          <idx val="8"/>
          <order val="8"/>
          <tx>
            <strRef>
              <f>Chart2!$A$8</f>
              <strCache>
                <ptCount val="1"/>
                <pt idx="0">
                  <v>CAD</v>
                </pt>
              </strCache>
            </strRef>
          </tx>
          <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Chart2!$B$2:$N$3</f>
            </multiLvlStrRef>
          </cat>
          <val>
            <numRef>
              <f>Chart2!$B$8:$N$8</f>
              <numCache>
                <formatCode>#,##0_ </formatCode>
                <ptCount val="13"/>
                <pt idx="5">
                  <v>10.9101358490566</v>
                </pt>
                <pt idx="6">
                  <v>14.85574339622641</v>
                </pt>
                <pt idx="7">
                  <v>14.16329851485149</v>
                </pt>
              </numCache>
            </numRef>
          </val>
        </ser>
        <ser>
          <idx val="9"/>
          <order val="9"/>
          <tx>
            <strRef>
              <f>Chart2!$A$6</f>
              <strCache>
                <ptCount val="1"/>
                <pt idx="0">
                  <v>Depreciation</v>
                </pt>
              </strCache>
            </strRef>
          </tx>
          <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Chart2!$B$2:$N$3</f>
            </multiLvlStrRef>
          </cat>
          <val>
            <numRef>
              <f>Chart2!$B$6:$N$6</f>
              <numCache>
                <formatCode>#,##0_ </formatCode>
                <ptCount val="13"/>
                <pt idx="5">
                  <v>3.316012</v>
                </pt>
                <pt idx="6">
                  <v>3.315968</v>
                </pt>
                <pt idx="7">
                  <v>3.315996</v>
                </pt>
              </numCache>
            </numRef>
          </val>
        </ser>
        <ser>
          <idx val="10"/>
          <order val="11"/>
          <tx>
            <strRef>
              <f>Chart2!$A$15</f>
              <strCache>
                <ptCount val="1"/>
                <pt idx="0">
                  <v>Profit</v>
                </pt>
              </strCache>
            </strRef>
          </tx>
          <spPr>
            <a:ln w="12700">
              <a:solidFill>
                <a:sysClr lastClr="000000" val="windowText"/>
              </a:solidFill>
              <a:prstDash val="solid"/>
            </a:ln>
          </spPr>
          <invertIfNegative val="0"/>
          <dLbls>
            <delete val="1"/>
          </dLbls>
          <cat>
            <strRef>
              <f>Chart2!$B$3:$N$3</f>
              <strCache>
                <ptCount val="12"/>
                <pt idx="1">
                  <v>Apr</v>
                </pt>
                <pt idx="2">
                  <v>May</v>
                </pt>
                <pt idx="3">
                  <v>Jun</v>
                </pt>
                <pt idx="5">
                  <v>Apr</v>
                </pt>
                <pt idx="6">
                  <v>May</v>
                </pt>
                <pt idx="7">
                  <v>Jun</v>
                </pt>
                <pt idx="9">
                  <v>Apr</v>
                </pt>
                <pt idx="10">
                  <v>May</v>
                </pt>
                <pt idx="11">
                  <v>Jun</v>
                </pt>
              </strCache>
            </strRef>
          </cat>
          <val>
            <numRef>
              <f>Chart2!$B$15:$N$15</f>
              <numCache>
                <formatCode>#,##0_ </formatCode>
                <ptCount val="13"/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0"/>
        <overlap val="100"/>
        <axId val="107037824"/>
        <axId val="107039360"/>
      </barChart>
      <lineChart>
        <grouping val="standard"/>
        <varyColors val="0"/>
        <ser>
          <idx val="11"/>
          <order val="10"/>
          <tx>
            <strRef>
              <f>Chart2!$A$17</f>
              <strCache>
                <ptCount val="1"/>
                <pt idx="0">
                  <v> Total </v>
                </pt>
              </strCache>
            </strRef>
          </tx>
          <spPr>
            <a:ln>
              <a:noFill/>
              <a:prstDash val="solid"/>
            </a:ln>
          </spPr>
          <marker>
            <symbol val="dot"/>
            <size val="2"/>
            <spPr>
              <a:ln>
                <a:prstDash val="solid"/>
              </a:ln>
            </spPr>
          </marker>
          <dLbls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5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6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7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9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1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b="1" lang="zh-CN" sz="1100">
                    <a:solidFill>
                      <a:srgbClr val="C00000"/>
                    </a:solidFill>
                  </a:defRPr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Chart2!$B$2:$N$3</f>
            </multiLvlStrRef>
          </cat>
          <val>
            <numRef>
              <f>Chart2!$B$17:$N$17</f>
              <numCache>
                <formatCode>_ * #,##0_ ;_ * \-#,##0_ ;_ * "-"??_ ;_ @_ </formatCode>
                <ptCount val="13"/>
                <pt idx="1">
                  <v>1437.96444</v>
                </pt>
                <pt idx="2">
                  <v>1503.80199</v>
                </pt>
                <pt idx="3">
                  <v>1805.76204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  <smooth val="0"/>
        </ser>
        <ser>
          <idx val="12"/>
          <order val="12"/>
          <tx>
            <strRef>
              <f>Chart2!$A$16</f>
              <strCache>
                <ptCount val="1"/>
                <pt idx="0">
                  <v> PL% </v>
                </pt>
              </strCache>
            </strRef>
          </tx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dLbls>
            <dLbl>
              <idx val="9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1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Chart2!$B$2:$N$3</f>
            </multiLvlStrRef>
          </cat>
          <val>
            <numRef>
              <f>Chart2!$B$16:$N$16</f>
              <numCache>
                <formatCode>#,##0_ </formatCode>
                <ptCount val="13"/>
                <pt idx="9">
                  <formatCode>0.00%</formatCode>
                  <v>0</v>
                </pt>
                <pt idx="10">
                  <formatCode>0.00%</formatCode>
                  <v>0</v>
                </pt>
                <pt idx="11">
                  <formatCode>0.00%</formatCode>
                  <v>0</v>
                </pt>
              </numCache>
            </numRef>
          </val>
          <smooth val="0"/>
        </ser>
        <dLbls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07037824"/>
        <axId val="107039360"/>
      </lineChart>
      <catAx>
        <axId val="10703782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zh-CN"/>
            </a:pPr>
            <a:r>
              <a:t/>
            </a:r>
            <a:endParaRPr lang="zh-CN"/>
          </a:p>
        </txPr>
        <crossAx val="107039360"/>
        <crosses val="autoZero"/>
        <auto val="1"/>
        <lblAlgn val="ctr"/>
        <lblOffset val="100"/>
        <tickMarkSkip val="1"/>
        <noMultiLvlLbl val="0"/>
      </catAx>
      <valAx>
        <axId val="107039360"/>
        <scaling>
          <orientation val="minMax"/>
          <max val="5000"/>
          <min val="-500"/>
        </scaling>
        <delete val="0"/>
        <axPos val="l"/>
        <majorGridlines>
          <spPr>
            <a:ln w="3175">
              <a:solidFill>
                <a:srgbClr val="C0C0C0"/>
              </a:solidFill>
              <a:prstDash val="sysDash"/>
            </a:ln>
          </spPr>
        </majorGridlines>
        <numFmt formatCode="#,##0_ 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zh-CN"/>
            </a:pPr>
            <a:r>
              <a:t/>
            </a:r>
            <a:endParaRPr lang="zh-CN"/>
          </a:p>
        </txPr>
        <crossAx val="107037824"/>
        <crosses val="autoZero"/>
        <crossBetween val="between"/>
        <majorUnit val="2000"/>
      </valAx>
    </plotArea>
    <legend>
      <legendPos val="b"/>
      <legendEntry>
        <idx val="0"/>
        <delete val="1"/>
      </legendEntry>
      <legendEntry>
        <idx val="11"/>
        <delete val="1"/>
      </legendEntry>
      <legendEntry>
        <idx val="12"/>
        <delete val="1"/>
      </legendEntry>
      <layout>
        <manualLayout>
          <xMode val="edge"/>
          <yMode val="edge"/>
          <x val="0.1652805467350134"/>
          <y val="0.9031058513432023"/>
          <w val="0.7344090382654692"/>
          <h val="0.09011797119829151"/>
        </manualLayout>
      </layout>
      <overlay val="0"/>
      <spPr>
        <a:noFill/>
        <a:ln>
          <a:solidFill>
            <a:srgbClr val="1F497D"/>
          </a:solidFill>
          <a:prstDash val="solid"/>
        </a:ln>
      </spPr>
      <txPr>
        <a:bodyPr/>
        <a:lstStyle/>
        <a:p>
          <a:pPr>
            <a:defRPr lang="zh-CN"/>
          </a:pPr>
          <a:r>
            <a:t/>
          </a:r>
          <a:endParaRPr lang="zh-CN"/>
        </a:p>
      </txPr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altLang="zh-CN" b="1" baseline="0" i="0" lang="en-US" sz="1400">
                <effectLst/>
              </a:rPr>
              <a:t>12273 PL for 3 months</a:t>
            </a:r>
            <a:endParaRPr altLang="zh-CN" lang="zh-CN" sz="1400">
              <effectLst/>
            </a:endParaRPr>
          </a:p>
        </rich>
      </tx>
      <overlay val="0"/>
    </title>
    <plotArea>
      <layout>
        <manualLayout>
          <layoutTarget val="inner"/>
          <xMode val="edge"/>
          <yMode val="edge"/>
          <x val="0.08716583511906165"/>
          <y val="0.09166817469534506"/>
          <w val="0.8814013266527837"/>
          <h val="0.7761027335422699"/>
        </manualLayout>
      </layout>
      <barChart>
        <barDir val="col"/>
        <grouping val="stacked"/>
        <varyColors val="0"/>
        <ser>
          <idx val="0"/>
          <order val="0"/>
          <tx>
            <strRef>
              <f>Chart2!$A$55</f>
              <strCache>
                <ptCount val="1"/>
                <pt idx="0">
                  <v>Revenue</v>
                </pt>
              </strCache>
            </strRef>
          </tx>
          <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Chart2!$B$43:$N$44</f>
            </multiLvlStrRef>
          </cat>
          <val>
            <numRef>
              <f>Chart2!$B$55:$N$55</f>
              <numCache>
                <formatCode>#,##0_ </formatCode>
                <ptCount val="13"/>
                <pt idx="1">
                  <v>118.15821</v>
                </pt>
                <pt idx="2">
                  <v>175.66944</v>
                </pt>
                <pt idx="3">
                  <v>455.16087</v>
                </pt>
              </numCache>
            </numRef>
          </val>
        </ser>
        <ser>
          <idx val="1"/>
          <order val="1"/>
          <tx>
            <strRef>
              <f>Chart2!$A$45</f>
              <strCache>
                <ptCount val="1"/>
                <pt idx="0">
                  <v>Personnel</v>
                </pt>
              </strCache>
            </strRef>
          </tx>
          <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Chart2!$B$43:$N$44</f>
            </multiLvlStrRef>
          </cat>
          <val>
            <numRef>
              <f>Chart2!$B$45:$N$45</f>
              <numCache>
                <formatCode>#,##0_ </formatCode>
                <ptCount val="13"/>
                <pt idx="5">
                  <v>137.94148225</v>
                </pt>
                <pt idx="6">
                  <v>138.58704225</v>
                </pt>
                <pt idx="7">
                  <v>85.49047225</v>
                </pt>
              </numCache>
            </numRef>
          </val>
        </ser>
        <ser>
          <idx val="2"/>
          <order val="2"/>
          <tx>
            <strRef>
              <f>Chart2!$A$46</f>
              <strCache>
                <ptCount val="1"/>
                <pt idx="0">
                  <v>OS</v>
                </pt>
              </strCache>
            </strRef>
          </tx>
          <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Chart2!$B$43:$N$44</f>
            </multiLvlStrRef>
          </cat>
          <val>
            <numRef>
              <f>Chart2!$B$46:$N$46</f>
              <numCache>
                <formatCode>#,##0_ </formatCode>
                <ptCount val="13"/>
                <pt idx="5">
                  <v>48.842</v>
                </pt>
                <pt idx="6">
                  <v>48.656</v>
                </pt>
                <pt idx="7">
                  <v>101.395</v>
                </pt>
              </numCache>
            </numRef>
          </val>
        </ser>
        <ser>
          <idx val="3"/>
          <order val="3"/>
          <tx>
            <strRef>
              <f>Chart2!$A$48</f>
              <strCache>
                <ptCount val="1"/>
                <pt idx="0">
                  <v>Rental</v>
                </pt>
              </strCache>
            </strRef>
          </tx>
          <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Chart2!$B$43:$N$44</f>
            </multiLvlStrRef>
          </cat>
          <val>
            <numRef>
              <f>Chart2!$B$48:$N$48</f>
              <numCache>
                <formatCode>#,##0_ </formatCode>
                <ptCount val="13"/>
                <pt idx="5">
                  <v>7.654152380952382</v>
                </pt>
                <pt idx="6">
                  <v>9.982880975124377</v>
                </pt>
                <pt idx="7">
                  <v>12.80210531343284</v>
                </pt>
              </numCache>
            </numRef>
          </val>
        </ser>
        <ser>
          <idx val="4"/>
          <order val="4"/>
          <tx>
            <strRef>
              <f>Chart2!$A$50</f>
              <strCache>
                <ptCount val="1"/>
                <pt idx="0">
                  <v>IS (Infra+Service)</v>
                </pt>
              </strCache>
            </strRef>
          </tx>
          <spPr>
            <a:solidFill>
              <a:srgbClr val="4BACC6"/>
            </a:solidFill>
            <a:ln w="28575"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Chart2!$B$43:$N$44</f>
            </multiLvlStrRef>
          </cat>
          <val>
            <numRef>
              <f>Chart2!$B$50:$N$50</f>
              <numCache>
                <formatCode>#,##0_ </formatCode>
                <ptCount val="13"/>
                <pt idx="5">
                  <v>13.071798</v>
                </pt>
                <pt idx="6">
                  <v>15.03202846153846</v>
                </pt>
                <pt idx="7">
                  <v>14.47464666666667</v>
                </pt>
              </numCache>
            </numRef>
          </val>
        </ser>
        <ser>
          <idx val="5"/>
          <order val="5"/>
          <tx>
            <strRef>
              <f>Chart2!$A$51</f>
              <strCache>
                <ptCount val="1"/>
                <pt idx="0">
                  <v>Schina Allocation</v>
                </pt>
              </strCache>
            </strRef>
          </tx>
          <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Chart2!$B$43:$N$44</f>
            </multiLvlStrRef>
          </cat>
          <val>
            <numRef>
              <f>Chart2!$B$51:$N$51</f>
              <numCache>
                <formatCode>#,##0_ </formatCode>
                <ptCount val="13"/>
                <pt idx="5">
                  <v>19.49193450549451</v>
                </pt>
                <pt idx="6">
                  <v>17.96001966480447</v>
                </pt>
                <pt idx="7">
                  <v>76.43983824175824</v>
                </pt>
              </numCache>
            </numRef>
          </val>
        </ser>
        <ser>
          <idx val="6"/>
          <order val="6"/>
          <tx>
            <strRef>
              <f>Chart2!$A$54</f>
              <strCache>
                <ptCount val="1"/>
                <pt idx="0">
                  <v>CSC Allocation</v>
                </pt>
              </strCache>
            </strRef>
          </tx>
          <spPr>
            <a:solidFill>
              <a:srgbClr val="00FFFF"/>
            </a:solidFill>
            <a:ln w="0">
              <a:solidFill>
                <a:sysClr lastClr="000000" val="windowText"/>
              </a:solidFill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Chart2!$B$43:$N$44</f>
            </multiLvlStrRef>
          </cat>
          <val>
            <numRef>
              <f>Chart2!$B$54:$N$54</f>
              <numCache>
                <formatCode>#,##0_ </formatCode>
                <ptCount val="13"/>
                <pt idx="5">
                  <v>26.57037847425203</v>
                </pt>
                <pt idx="6">
                  <v>36.69593896192227</v>
                </pt>
                <pt idx="7">
                  <v>42.99517542421485</v>
                </pt>
              </numCache>
            </numRef>
          </val>
        </ser>
        <ser>
          <idx val="7"/>
          <order val="7"/>
          <tx>
            <strRef>
              <f>Chart2!$A$52</f>
              <strCache>
                <ptCount val="1"/>
                <pt idx="0">
                  <v>Travelling </v>
                </pt>
              </strCache>
            </strRef>
          </tx>
          <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Chart2!$B$43:$N$44</f>
            </multiLvlStrRef>
          </cat>
          <val>
            <numRef>
              <f>Chart2!$B$52:$N$52</f>
              <numCache>
                <formatCode>#,##0_ </formatCode>
                <ptCount val="13"/>
                <pt idx="5">
                  <v>25.98831</v>
                </pt>
                <pt idx="6">
                  <v>15.277888</v>
                </pt>
                <pt idx="7">
                  <v>13.566752</v>
                </pt>
              </numCache>
            </numRef>
          </val>
        </ser>
        <ser>
          <idx val="8"/>
          <order val="8"/>
          <tx>
            <strRef>
              <f>Chart2!$A$53</f>
              <strCache>
                <ptCount val="1"/>
                <pt idx="0">
                  <v>Other SGA</v>
                </pt>
              </strCache>
            </strRef>
          </tx>
          <spPr>
            <a:solidFill>
              <a:srgbClr val="CCCCFF"/>
            </a:solidFill>
            <a:ln w="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Chart2!$B$43:$N$44</f>
            </multiLvlStrRef>
          </cat>
          <val>
            <numRef>
              <f>Chart2!$B$53:$N$53</f>
              <numCache>
                <formatCode>#,##0_ </formatCode>
                <ptCount val="13"/>
                <pt idx="5">
                  <v>28.09953906766917</v>
                </pt>
                <pt idx="6">
                  <v>6.209541791044776</v>
                </pt>
                <pt idx="7">
                  <v>4.720885253731344</v>
                </pt>
              </numCache>
            </numRef>
          </val>
        </ser>
        <ser>
          <idx val="9"/>
          <order val="9"/>
          <tx>
            <strRef>
              <f>Chart2!$A$49</f>
              <strCache>
                <ptCount val="1"/>
                <pt idx="0">
                  <v>CAD</v>
                </pt>
              </strCache>
            </strRef>
          </tx>
          <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Chart2!$B$43:$N$44</f>
            </multiLvlStrRef>
          </cat>
          <val>
            <numRef>
              <f>Chart2!$B$49:$N$49</f>
              <numCache>
                <formatCode>#,##0_ </formatCode>
                <ptCount val="13"/>
                <pt idx="5">
                  <v>0.6818834905660374</v>
                </pt>
                <pt idx="6">
                  <v>0.9284839622641509</v>
                </pt>
                <pt idx="7">
                  <v>0.9442199009900992</v>
                </pt>
              </numCache>
            </numRef>
          </val>
        </ser>
        <ser>
          <idx val="10"/>
          <order val="10"/>
          <tx>
            <strRef>
              <f>Chart2!$A$47</f>
              <strCache>
                <ptCount val="1"/>
                <pt idx="0">
                  <v>Depreciation</v>
                </pt>
              </strCache>
            </strRef>
          </tx>
          <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Chart2!$B$43:$N$44</f>
            </multiLvlStrRef>
          </cat>
          <val>
            <numRef>
              <f>Chart2!$B$47:$N$47</f>
              <numCache>
                <formatCode>#,##0_ </formatCode>
                <ptCount val="13"/>
                <pt idx="5">
                  <v>2.553232</v>
                </pt>
                <pt idx="6">
                  <v>2.553168</v>
                </pt>
                <pt idx="7">
                  <v>2.553216</v>
                </pt>
              </numCache>
            </numRef>
          </val>
        </ser>
        <ser>
          <idx val="11"/>
          <order val="11"/>
          <tx>
            <strRef>
              <f>Chart2!$A$56</f>
              <strCache>
                <ptCount val="1"/>
                <pt idx="0">
                  <v>Profit</v>
                </pt>
              </strCache>
            </strRef>
          </tx>
          <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Chart2!$B$43:$N$44</f>
            </multiLvlStrRef>
          </cat>
          <val>
            <numRef>
              <f>Chart2!$B$56:$N$56</f>
              <numCache>
                <formatCode>#,##0_ </formatCode>
                <ptCount val="13"/>
                <pt idx="9">
                  <v>-192.7365001689342</v>
                </pt>
                <pt idx="10">
                  <v>-116.2135520666985</v>
                </pt>
                <pt idx="11">
                  <v>99.77855894920594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0"/>
        <overlap val="100"/>
        <axId val="106892288"/>
        <axId val="106910464"/>
      </barChart>
      <lineChart>
        <grouping val="standard"/>
        <varyColors val="0"/>
        <ser>
          <idx val="12"/>
          <order val="12"/>
          <tx>
            <strRef>
              <f>Chart2!$A$58</f>
              <strCache>
                <ptCount val="1"/>
                <pt idx="0">
                  <v> Total </v>
                </pt>
              </strCache>
            </strRef>
          </tx>
          <spPr>
            <a:ln w="28575">
              <a:noFill/>
              <a:prstDash val="solid"/>
            </a:ln>
          </spPr>
          <marker>
            <symbol val="dot"/>
            <size val="2"/>
            <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spPr>
          </marker>
          <dLbls>
            <dLbl>
              <idx val="0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4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5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6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7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9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0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1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b="1" lang="zh-CN" sz="1100">
                    <a:solidFill>
                      <a:srgbClr val="C00000"/>
                    </a:solidFill>
                  </a:defRPr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Chart2!$B$43:$M$44</f>
            </multiLvlStrRef>
          </cat>
          <val>
            <numRef>
              <f>Chart2!$B$58:$N$58</f>
              <numCache>
                <formatCode>_ * #,##0_ ;_ * \-#,##0_ ;_ * "-"??_ ;_ @_ </formatCode>
                <ptCount val="13"/>
                <pt idx="1">
                  <v>118.15821</v>
                </pt>
                <pt idx="2">
                  <v>175.66944</v>
                </pt>
                <pt idx="3">
                  <v>455.16087</v>
                </pt>
                <pt idx="5">
                  <v>310.8947101689342</v>
                </pt>
                <pt idx="6">
                  <v>291.8829920666985</v>
                </pt>
                <pt idx="7">
                  <v>355.382311050794</v>
                </pt>
                <pt idx="9">
                  <v>-192.7365001689342</v>
                </pt>
                <pt idx="10">
                  <v>-116.2135520666985</v>
                </pt>
                <pt idx="11">
                  <v>99.77855894920594</v>
                </pt>
              </numCache>
            </numRef>
          </val>
          <smooth val="0"/>
        </ser>
        <ser>
          <idx val="13"/>
          <order val="13"/>
          <tx>
            <strRef>
              <f>Chart2!$A$57</f>
              <strCache>
                <ptCount val="1"/>
                <pt idx="0">
                  <v> PL% </v>
                </pt>
              </strCache>
            </strRef>
          </tx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dPt>
            <idx val="9"/>
            <bubble3D val="0"/>
            <spPr>
              <a:ln>
                <a:prstDash val="solid"/>
              </a:ln>
            </spPr>
          </dPt>
          <dLbls>
            <dLbl>
              <idx val="9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1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Chart2!$B$43:$M$44</f>
            </multiLvlStrRef>
          </cat>
          <val>
            <numRef>
              <f>Chart2!$B$57:$M$57</f>
              <numCache>
                <formatCode>#,##0_ </formatCode>
                <ptCount val="12"/>
                <pt idx="9">
                  <formatCode>0.00%</formatCode>
                  <v>-1.631173154780647</v>
                </pt>
                <pt idx="10">
                  <formatCode>0.00%</formatCode>
                  <v>-0.6615467782370028</v>
                </pt>
                <pt idx="11">
                  <formatCode>0.00%</formatCode>
                  <v>0.2192160300361627</v>
                </pt>
              </numCache>
            </numRef>
          </val>
          <smooth val="0"/>
        </ser>
        <dLbls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06892288"/>
        <axId val="106910464"/>
      </lineChart>
      <catAx>
        <axId val="10689228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zh-CN"/>
            </a:pPr>
            <a:r>
              <a:t/>
            </a:r>
            <a:endParaRPr lang="zh-CN"/>
          </a:p>
        </txPr>
        <crossAx val="106910464"/>
        <crosses val="autoZero"/>
        <auto val="1"/>
        <lblAlgn val="ctr"/>
        <lblOffset val="100"/>
        <tickLblSkip val="1"/>
        <tickMarkSkip val="1"/>
        <noMultiLvlLbl val="0"/>
      </catAx>
      <valAx>
        <axId val="106910464"/>
        <scaling>
          <orientation val="minMax"/>
        </scaling>
        <delete val="0"/>
        <axPos val="l"/>
        <majorGridlines>
          <spPr>
            <a:ln w="3175">
              <a:solidFill>
                <a:srgbClr val="C0C0C0"/>
              </a:solidFill>
              <a:prstDash val="sysDash"/>
            </a:ln>
          </spPr>
        </majorGridlines>
        <numFmt formatCode="#,##0_ " sourceLinked="1"/>
        <majorTickMark val="in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zh-CN"/>
            </a:pPr>
            <a:r>
              <a:t/>
            </a:r>
            <a:endParaRPr lang="zh-CN"/>
          </a:p>
        </txPr>
        <crossAx val="106892288"/>
        <crosses val="autoZero"/>
        <crossBetween val="between"/>
      </valAx>
    </plotArea>
    <legend>
      <legendPos val="b"/>
      <legendEntry>
        <idx val="0"/>
        <delete val="1"/>
      </legendEntry>
      <legendEntry>
        <idx val="11"/>
        <delete val="1"/>
      </legendEntry>
      <legendEntry>
        <idx val="12"/>
        <delete val="1"/>
      </legendEntry>
      <legendEntry>
        <idx val="13"/>
        <delete val="1"/>
      </legendEntry>
      <layout>
        <manualLayout>
          <xMode val="edge"/>
          <yMode val="edge"/>
          <x val="0.1297853271254065"/>
          <y val="0.8793741946132552"/>
          <w val="0.7609367845971161"/>
          <h val="0.101191760772333"/>
        </manualLayout>
      </layout>
      <overlay val="0"/>
      <spPr>
        <a:ln>
          <a:solidFill>
            <a:srgbClr val="4F81BD"/>
          </a:solidFill>
          <a:prstDash val="solid"/>
        </a:ln>
      </spPr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altLang="zh-CN" b="1" baseline="0" i="0" lang="en-US" sz="1400">
                <effectLst/>
              </a:rPr>
              <a:t>12276 PL for 3 months</a:t>
            </a:r>
            <a:endParaRPr altLang="zh-CN" lang="zh-CN" sz="1400">
              <effectLst/>
            </a:endParaRPr>
          </a:p>
        </rich>
      </tx>
      <overlay val="0"/>
    </title>
    <plotArea>
      <layout>
        <manualLayout>
          <layoutTarget val="inner"/>
          <xMode val="edge"/>
          <yMode val="edge"/>
          <x val="0.08716583511906165"/>
          <y val="0.09166817469534506"/>
          <w val="0.8814013266527837"/>
          <h val="0.7761027335422699"/>
        </manualLayout>
      </layout>
      <barChart>
        <barDir val="col"/>
        <grouping val="stacked"/>
        <varyColors val="0"/>
        <ser>
          <idx val="0"/>
          <order val="0"/>
          <tx>
            <strRef>
              <f>Chart2!$A$74</f>
              <strCache>
                <ptCount val="1"/>
                <pt idx="0">
                  <v>Revenue</v>
                </pt>
              </strCache>
            </strRef>
          </tx>
          <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Chart2!$B$62:$N$63</f>
            </multiLvlStrRef>
          </cat>
          <val>
            <numRef>
              <f>Chart2!$B$74:$N$74</f>
              <numCache>
                <formatCode>#,##0_ </formatCode>
                <ptCount val="13"/>
                <pt idx="1">
                  <v>266.56323</v>
                </pt>
                <pt idx="2">
                  <v>266.08755</v>
                </pt>
                <pt idx="3">
                  <v>268.77384</v>
                </pt>
              </numCache>
            </numRef>
          </val>
        </ser>
        <ser>
          <idx val="1"/>
          <order val="1"/>
          <tx>
            <strRef>
              <f>Chart2!$A$64</f>
              <strCache>
                <ptCount val="1"/>
                <pt idx="0">
                  <v>Personnel</v>
                </pt>
              </strCache>
            </strRef>
          </tx>
          <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Chart2!$B$62:$N$63</f>
            </multiLvlStrRef>
          </cat>
          <val>
            <numRef>
              <f>Chart2!$B$64:$N$64</f>
              <numCache>
                <formatCode>#,##0_ </formatCode>
                <ptCount val="13"/>
                <pt idx="5">
                  <v>81.08683000000001</v>
                </pt>
                <pt idx="6">
                  <v>80.61098999999999</v>
                </pt>
                <pt idx="7">
                  <v>72.77047999999999</v>
                </pt>
              </numCache>
            </numRef>
          </val>
        </ser>
        <ser>
          <idx val="2"/>
          <order val="2"/>
          <tx>
            <strRef>
              <f>Chart2!$A$65</f>
              <strCache>
                <ptCount val="1"/>
                <pt idx="0">
                  <v>OS</v>
                </pt>
              </strCache>
            </strRef>
          </tx>
          <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Chart2!$B$62:$N$63</f>
            </multiLvlStrRef>
          </cat>
          <val>
            <numRef>
              <f>Chart2!$B$65:$N$65</f>
              <numCache>
                <formatCode>#,##0_ </formatCode>
                <ptCount val="13"/>
                <pt idx="5">
                  <v>67.04300000000001</v>
                </pt>
                <pt idx="6">
                  <v>61.958</v>
                </pt>
                <pt idx="7">
                  <v>70.97999999999999</v>
                </pt>
              </numCache>
            </numRef>
          </val>
        </ser>
        <ser>
          <idx val="3"/>
          <order val="3"/>
          <tx>
            <strRef>
              <f>Chart2!$A$67</f>
              <strCache>
                <ptCount val="1"/>
                <pt idx="0">
                  <v>Rental</v>
                </pt>
              </strCache>
            </strRef>
          </tx>
          <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Chart2!$B$62:$N$63</f>
            </multiLvlStrRef>
          </cat>
          <val>
            <numRef>
              <f>Chart2!$B$67:$N$67</f>
              <numCache>
                <formatCode>#,##0_ </formatCode>
                <ptCount val="13"/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4"/>
          <order val="4"/>
          <tx>
            <strRef>
              <f>Chart2!$A$69</f>
              <strCache>
                <ptCount val="1"/>
                <pt idx="0">
                  <v>IS (Infra+Service)</v>
                </pt>
              </strCache>
            </strRef>
          </tx>
          <spPr>
            <a:solidFill>
              <a:srgbClr val="4BACC6"/>
            </a:solidFill>
            <a:ln w="28575"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Chart2!$B$62:$N$63</f>
            </multiLvlStrRef>
          </cat>
          <val>
            <numRef>
              <f>Chart2!$B$69:$N$69</f>
              <numCache>
                <formatCode>#,##0_ </formatCode>
                <ptCount val="13"/>
                <pt idx="5">
                  <v>10.0929</v>
                </pt>
                <pt idx="6">
                  <v>10.07236</v>
                </pt>
                <pt idx="7">
                  <v>10.05571</v>
                </pt>
              </numCache>
            </numRef>
          </val>
        </ser>
        <ser>
          <idx val="5"/>
          <order val="5"/>
          <tx>
            <strRef>
              <f>Chart2!$A$70</f>
              <strCache>
                <ptCount val="1"/>
                <pt idx="0">
                  <v>Schina Allocation</v>
                </pt>
              </strCache>
            </strRef>
          </tx>
          <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Chart2!$B$62:$N$63</f>
            </multiLvlStrRef>
          </cat>
          <val>
            <numRef>
              <f>Chart2!$B$70:$N$70</f>
              <numCache>
                <formatCode>#,##0_ </formatCode>
                <ptCount val="13"/>
                <pt idx="5">
                  <v>9.745967252747258</v>
                </pt>
                <pt idx="6">
                  <v>8.980009832402237</v>
                </pt>
                <pt idx="7">
                  <v>38.21991912087913</v>
                </pt>
              </numCache>
            </numRef>
          </val>
        </ser>
        <ser>
          <idx val="6"/>
          <order val="6"/>
          <tx>
            <strRef>
              <f>Chart2!$A$73</f>
              <strCache>
                <ptCount val="1"/>
                <pt idx="0">
                  <v>CSC Allocation</v>
                </pt>
              </strCache>
            </strRef>
          </tx>
          <spPr>
            <a:solidFill>
              <a:srgbClr val="00FFFF"/>
            </a:solidFill>
            <a:ln w="0">
              <a:solidFill>
                <a:sysClr lastClr="000000" val="windowText"/>
              </a:solidFill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Chart2!$B$62:$N$63</f>
            </multiLvlStrRef>
          </cat>
          <val>
            <numRef>
              <f>Chart2!$B$73:$N$73</f>
              <numCache>
                <formatCode>#,##0_ </formatCode>
                <ptCount val="13"/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7"/>
          <order val="7"/>
          <tx>
            <strRef>
              <f>Chart2!$A$71</f>
              <strCache>
                <ptCount val="1"/>
                <pt idx="0">
                  <v>Travelling </v>
                </pt>
              </strCache>
            </strRef>
          </tx>
          <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Chart2!$B$62:$N$63</f>
            </multiLvlStrRef>
          </cat>
          <val>
            <numRef>
              <f>Chart2!$B$71:$N$71</f>
              <numCache>
                <formatCode>#,##0_ </formatCode>
                <ptCount val="13"/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8"/>
          <order val="8"/>
          <tx>
            <strRef>
              <f>Chart2!$A$72</f>
              <strCache>
                <ptCount val="1"/>
                <pt idx="0">
                  <v>Other SGA</v>
                </pt>
              </strCache>
            </strRef>
          </tx>
          <spPr>
            <a:solidFill>
              <a:srgbClr val="CCCCFF"/>
            </a:solidFill>
            <a:ln w="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Chart2!$B$62:$N$63</f>
            </multiLvlStrRef>
          </cat>
          <val>
            <numRef>
              <f>Chart2!$B$72:$N$72</f>
              <numCache>
                <formatCode>#,##0_ </formatCode>
                <ptCount val="13"/>
                <pt idx="5">
                  <v>0.1429800000000001</v>
                </pt>
                <pt idx="6">
                  <v>0.1978399999999999</v>
                </pt>
                <pt idx="7">
                  <v>0.1909499999999998</v>
                </pt>
              </numCache>
            </numRef>
          </val>
        </ser>
        <ser>
          <idx val="9"/>
          <order val="9"/>
          <tx>
            <strRef>
              <f>Chart2!$A$68</f>
              <strCache>
                <ptCount val="1"/>
                <pt idx="0">
                  <v>CAD</v>
                </pt>
              </strCache>
            </strRef>
          </tx>
          <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Chart2!$B$62:$N$63</f>
            </multiLvlStrRef>
          </cat>
          <val>
            <numRef>
              <f>Chart2!$B$68:$N$68</f>
              <numCache>
                <formatCode>#,##0_ </formatCode>
                <ptCount val="13"/>
                <pt idx="5">
                  <v>4.773184433962262</v>
                </pt>
                <pt idx="6">
                  <v>7.427871698113207</v>
                </pt>
                <pt idx="7">
                  <v>6.609539306930695</v>
                </pt>
              </numCache>
            </numRef>
          </val>
        </ser>
        <ser>
          <idx val="10"/>
          <order val="10"/>
          <tx>
            <strRef>
              <f>Chart2!$A$66</f>
              <strCache>
                <ptCount val="1"/>
                <pt idx="0">
                  <v>Depreciation</v>
                </pt>
              </strCache>
            </strRef>
          </tx>
          <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Chart2!$B$62:$N$63</f>
            </multiLvlStrRef>
          </cat>
          <val>
            <numRef>
              <f>Chart2!$B$66:$N$66</f>
              <numCache>
                <formatCode>#,##0_ </formatCode>
                <ptCount val="13"/>
                <pt idx="5">
                  <v>0.30474</v>
                </pt>
                <pt idx="6">
                  <v>0.30475</v>
                </pt>
                <pt idx="7">
                  <v>0.30474</v>
                </pt>
              </numCache>
            </numRef>
          </val>
        </ser>
        <ser>
          <idx val="11"/>
          <order val="11"/>
          <tx>
            <strRef>
              <f>Chart2!$A$75</f>
              <strCache>
                <ptCount val="1"/>
                <pt idx="0">
                  <v>Profit</v>
                </pt>
              </strCache>
            </strRef>
          </tx>
          <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Chart2!$B$62:$N$63</f>
            </multiLvlStrRef>
          </cat>
          <val>
            <numRef>
              <f>Chart2!$B$75:$N$75</f>
              <numCache>
                <formatCode>#,##0_ </formatCode>
                <ptCount val="13"/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0"/>
        <overlap val="100"/>
        <axId val="107534208"/>
        <axId val="107535744"/>
      </barChart>
      <lineChart>
        <grouping val="standard"/>
        <varyColors val="0"/>
        <ser>
          <idx val="12"/>
          <order val="12"/>
          <tx>
            <strRef>
              <f>Chart2!$A$77</f>
              <strCache>
                <ptCount val="1"/>
                <pt idx="0">
                  <v>Total</v>
                </pt>
              </strCache>
            </strRef>
          </tx>
          <spPr>
            <a:ln w="28575">
              <a:noFill/>
              <a:prstDash val="solid"/>
            </a:ln>
          </spPr>
          <marker>
            <symbol val="dot"/>
            <size val="2"/>
            <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spPr>
          </marker>
          <dLbls>
            <dLbl>
              <idx val="0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4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5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6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7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9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0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1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b="1" lang="zh-CN" sz="1100">
                    <a:solidFill>
                      <a:srgbClr val="C00000"/>
                    </a:solidFill>
                  </a:defRPr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Chart2!$B$62:$N$63</f>
            </multiLvlStrRef>
          </cat>
          <val>
            <numRef>
              <f>Chart2!$B$77:$N$77</f>
              <numCache>
                <formatCode>_ * #,##0_ ;_ * \-#,##0_ ;_ * "-"??_ ;_ @_ </formatCode>
                <ptCount val="13"/>
                <pt idx="1">
                  <v>266.56323</v>
                </pt>
                <pt idx="2">
                  <v>266.08755</v>
                </pt>
                <pt idx="3">
                  <v>268.77384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  <smooth val="0"/>
        </ser>
        <ser>
          <idx val="13"/>
          <order val="13"/>
          <tx>
            <strRef>
              <f>Chart2!$A$76</f>
              <strCache>
                <ptCount val="1"/>
                <pt idx="0">
                  <v> PL% </v>
                </pt>
              </strCache>
            </strRef>
          </tx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dPt>
            <idx val="9"/>
            <bubble3D val="0"/>
            <spPr>
              <a:ln>
                <a:prstDash val="solid"/>
              </a:ln>
            </spPr>
          </dPt>
          <dLbls>
            <dLbl>
              <idx val="9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1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Chart2!$B$62:$N$63</f>
            </multiLvlStrRef>
          </cat>
          <val>
            <numRef>
              <f>Chart2!$B$76:$N$76</f>
              <numCache>
                <formatCode>#,##0_ </formatCode>
                <ptCount val="13"/>
                <pt idx="9">
                  <formatCode>0.00%</formatCode>
                  <v>0</v>
                </pt>
                <pt idx="10">
                  <formatCode>0.00%</formatCode>
                  <v>0</v>
                </pt>
                <pt idx="11">
                  <formatCode>0.00%</formatCode>
                  <v>0</v>
                </pt>
              </numCache>
            </numRef>
          </val>
          <smooth val="0"/>
        </ser>
        <dLbls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07534208"/>
        <axId val="107535744"/>
      </lineChart>
      <catAx>
        <axId val="1075342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zh-CN"/>
            </a:pPr>
            <a:r>
              <a:t/>
            </a:r>
            <a:endParaRPr lang="zh-CN"/>
          </a:p>
        </txPr>
        <crossAx val="107535744"/>
        <crosses val="autoZero"/>
        <auto val="1"/>
        <lblAlgn val="ctr"/>
        <lblOffset val="100"/>
        <tickLblSkip val="1"/>
        <tickMarkSkip val="1"/>
        <noMultiLvlLbl val="0"/>
      </catAx>
      <valAx>
        <axId val="107535744"/>
        <scaling>
          <orientation val="minMax"/>
        </scaling>
        <delete val="0"/>
        <axPos val="l"/>
        <majorGridlines>
          <spPr>
            <a:ln w="3175">
              <a:solidFill>
                <a:srgbClr val="C0C0C0"/>
              </a:solidFill>
              <a:prstDash val="sysDash"/>
            </a:ln>
          </spPr>
        </majorGridlines>
        <numFmt formatCode="#,##0_ " sourceLinked="1"/>
        <majorTickMark val="in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zh-CN"/>
            </a:pPr>
            <a:r>
              <a:t/>
            </a:r>
            <a:endParaRPr lang="zh-CN"/>
          </a:p>
        </txPr>
        <crossAx val="107534208"/>
        <crosses val="autoZero"/>
        <crossBetween val="between"/>
      </valAx>
    </plotArea>
    <legend>
      <legendPos val="b"/>
      <legendEntry>
        <idx val="0"/>
        <delete val="1"/>
      </legendEntry>
      <legendEntry>
        <idx val="11"/>
        <delete val="1"/>
      </legendEntry>
      <legendEntry>
        <idx val="12"/>
        <delete val="1"/>
      </legendEntry>
      <legendEntry>
        <idx val="13"/>
        <delete val="1"/>
      </legendEntry>
      <layout>
        <manualLayout>
          <xMode val="edge"/>
          <yMode val="edge"/>
          <x val="0.1297853271254065"/>
          <y val="0.8793741946132552"/>
          <w val="0.7609367845971161"/>
          <h val="0.101191760772333"/>
        </manualLayout>
      </layout>
      <overlay val="0"/>
      <spPr>
        <a:ln>
          <a:solidFill>
            <a:srgbClr val="4F81BD"/>
          </a:solidFill>
          <a:prstDash val="solid"/>
        </a:ln>
      </spPr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altLang="zh-CN" b="1" baseline="0" i="0" lang="en-US" sz="1400">
                <effectLst/>
              </a:rPr>
              <a:t>12278 PL for 3 months</a:t>
            </a:r>
            <a:endParaRPr altLang="zh-CN" lang="zh-CN" sz="1400">
              <effectLst/>
            </a:endParaRPr>
          </a:p>
        </rich>
      </tx>
      <overlay val="0"/>
    </title>
    <plotArea>
      <layout>
        <manualLayout>
          <layoutTarget val="inner"/>
          <xMode val="edge"/>
          <yMode val="edge"/>
          <x val="0.08716583511906165"/>
          <y val="0.09166817469534506"/>
          <w val="0.8814013266527837"/>
          <h val="0.7761027335422699"/>
        </manualLayout>
      </layout>
      <barChart>
        <barDir val="col"/>
        <grouping val="stacked"/>
        <varyColors val="0"/>
        <ser>
          <idx val="0"/>
          <order val="0"/>
          <tx>
            <strRef>
              <f>Chart2!$A$74</f>
              <strCache>
                <ptCount val="1"/>
                <pt idx="0">
                  <v>Revenue</v>
                </pt>
              </strCache>
            </strRef>
          </tx>
          <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Chart2!$B$62:$N$63</f>
            </multiLvlStrRef>
          </cat>
          <val>
            <numRef>
              <f>Chart2!$B$74:$N$74</f>
              <numCache>
                <formatCode>#,##0_ </formatCode>
                <ptCount val="13"/>
                <pt idx="1">
                  <v>266.56323</v>
                </pt>
                <pt idx="2">
                  <v>266.08755</v>
                </pt>
                <pt idx="3">
                  <v>268.77384</v>
                </pt>
              </numCache>
            </numRef>
          </val>
        </ser>
        <ser>
          <idx val="1"/>
          <order val="1"/>
          <tx>
            <strRef>
              <f>Chart2!$A$64</f>
              <strCache>
                <ptCount val="1"/>
                <pt idx="0">
                  <v>Personnel</v>
                </pt>
              </strCache>
            </strRef>
          </tx>
          <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Chart2!$B$62:$N$63</f>
            </multiLvlStrRef>
          </cat>
          <val>
            <numRef>
              <f>Chart2!$B$64:$N$64</f>
              <numCache>
                <formatCode>#,##0_ </formatCode>
                <ptCount val="13"/>
                <pt idx="5">
                  <v>81.08683000000001</v>
                </pt>
                <pt idx="6">
                  <v>80.61098999999999</v>
                </pt>
                <pt idx="7">
                  <v>72.77047999999999</v>
                </pt>
              </numCache>
            </numRef>
          </val>
        </ser>
        <ser>
          <idx val="2"/>
          <order val="2"/>
          <tx>
            <strRef>
              <f>Chart2!$A$65</f>
              <strCache>
                <ptCount val="1"/>
                <pt idx="0">
                  <v>OS</v>
                </pt>
              </strCache>
            </strRef>
          </tx>
          <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Chart2!$B$62:$N$63</f>
            </multiLvlStrRef>
          </cat>
          <val>
            <numRef>
              <f>Chart2!$B$65:$N$65</f>
              <numCache>
                <formatCode>#,##0_ </formatCode>
                <ptCount val="13"/>
                <pt idx="5">
                  <v>67.04300000000001</v>
                </pt>
                <pt idx="6">
                  <v>61.958</v>
                </pt>
                <pt idx="7">
                  <v>70.97999999999999</v>
                </pt>
              </numCache>
            </numRef>
          </val>
        </ser>
        <ser>
          <idx val="3"/>
          <order val="3"/>
          <tx>
            <strRef>
              <f>Chart2!$A$67</f>
              <strCache>
                <ptCount val="1"/>
                <pt idx="0">
                  <v>Rental</v>
                </pt>
              </strCache>
            </strRef>
          </tx>
          <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Chart2!$B$62:$N$63</f>
            </multiLvlStrRef>
          </cat>
          <val>
            <numRef>
              <f>Chart2!$B$67:$N$67</f>
              <numCache>
                <formatCode>#,##0_ </formatCode>
                <ptCount val="13"/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4"/>
          <order val="4"/>
          <tx>
            <strRef>
              <f>Chart2!$A$69</f>
              <strCache>
                <ptCount val="1"/>
                <pt idx="0">
                  <v>IS (Infra+Service)</v>
                </pt>
              </strCache>
            </strRef>
          </tx>
          <spPr>
            <a:solidFill>
              <a:srgbClr val="4BACC6"/>
            </a:solidFill>
            <a:ln w="28575"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Chart2!$B$62:$N$63</f>
            </multiLvlStrRef>
          </cat>
          <val>
            <numRef>
              <f>Chart2!$B$69:$N$69</f>
              <numCache>
                <formatCode>#,##0_ </formatCode>
                <ptCount val="13"/>
                <pt idx="5">
                  <v>10.0929</v>
                </pt>
                <pt idx="6">
                  <v>10.07236</v>
                </pt>
                <pt idx="7">
                  <v>10.05571</v>
                </pt>
              </numCache>
            </numRef>
          </val>
        </ser>
        <ser>
          <idx val="5"/>
          <order val="5"/>
          <tx>
            <strRef>
              <f>Chart2!$A$70</f>
              <strCache>
                <ptCount val="1"/>
                <pt idx="0">
                  <v>Schina Allocation</v>
                </pt>
              </strCache>
            </strRef>
          </tx>
          <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Chart2!$B$62:$N$63</f>
            </multiLvlStrRef>
          </cat>
          <val>
            <numRef>
              <f>Chart2!$B$70:$N$70</f>
              <numCache>
                <formatCode>#,##0_ </formatCode>
                <ptCount val="13"/>
                <pt idx="5">
                  <v>9.745967252747258</v>
                </pt>
                <pt idx="6">
                  <v>8.980009832402237</v>
                </pt>
                <pt idx="7">
                  <v>38.21991912087913</v>
                </pt>
              </numCache>
            </numRef>
          </val>
        </ser>
        <ser>
          <idx val="6"/>
          <order val="6"/>
          <tx>
            <strRef>
              <f>Chart2!$A$73</f>
              <strCache>
                <ptCount val="1"/>
                <pt idx="0">
                  <v>CSC Allocation</v>
                </pt>
              </strCache>
            </strRef>
          </tx>
          <spPr>
            <a:solidFill>
              <a:srgbClr val="00FFFF"/>
            </a:solidFill>
            <a:ln w="0">
              <a:solidFill>
                <a:sysClr lastClr="000000" val="windowText"/>
              </a:solidFill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Chart2!$B$62:$N$63</f>
            </multiLvlStrRef>
          </cat>
          <val>
            <numRef>
              <f>Chart2!$B$73:$N$73</f>
              <numCache>
                <formatCode>#,##0_ </formatCode>
                <ptCount val="13"/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7"/>
          <order val="7"/>
          <tx>
            <strRef>
              <f>Chart2!$A$71</f>
              <strCache>
                <ptCount val="1"/>
                <pt idx="0">
                  <v>Travelling </v>
                </pt>
              </strCache>
            </strRef>
          </tx>
          <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Chart2!$B$62:$N$63</f>
            </multiLvlStrRef>
          </cat>
          <val>
            <numRef>
              <f>Chart2!$B$71:$N$71</f>
              <numCache>
                <formatCode>#,##0_ </formatCode>
                <ptCount val="13"/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8"/>
          <order val="8"/>
          <tx>
            <strRef>
              <f>Chart2!$A$72</f>
              <strCache>
                <ptCount val="1"/>
                <pt idx="0">
                  <v>Other SGA</v>
                </pt>
              </strCache>
            </strRef>
          </tx>
          <spPr>
            <a:solidFill>
              <a:srgbClr val="CCCCFF"/>
            </a:solidFill>
            <a:ln w="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Chart2!$B$62:$N$63</f>
            </multiLvlStrRef>
          </cat>
          <val>
            <numRef>
              <f>Chart2!$B$72:$N$72</f>
              <numCache>
                <formatCode>#,##0_ </formatCode>
                <ptCount val="13"/>
                <pt idx="5">
                  <v>0.1429800000000001</v>
                </pt>
                <pt idx="6">
                  <v>0.1978399999999999</v>
                </pt>
                <pt idx="7">
                  <v>0.1909499999999998</v>
                </pt>
              </numCache>
            </numRef>
          </val>
        </ser>
        <ser>
          <idx val="9"/>
          <order val="9"/>
          <tx>
            <strRef>
              <f>Chart2!$A$68</f>
              <strCache>
                <ptCount val="1"/>
                <pt idx="0">
                  <v>CAD</v>
                </pt>
              </strCache>
            </strRef>
          </tx>
          <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Chart2!$B$62:$N$63</f>
            </multiLvlStrRef>
          </cat>
          <val>
            <numRef>
              <f>Chart2!$B$68:$N$68</f>
              <numCache>
                <formatCode>#,##0_ </formatCode>
                <ptCount val="13"/>
                <pt idx="5">
                  <v>4.773184433962262</v>
                </pt>
                <pt idx="6">
                  <v>7.427871698113207</v>
                </pt>
                <pt idx="7">
                  <v>6.609539306930695</v>
                </pt>
              </numCache>
            </numRef>
          </val>
        </ser>
        <ser>
          <idx val="10"/>
          <order val="10"/>
          <tx>
            <strRef>
              <f>Chart2!$A$66</f>
              <strCache>
                <ptCount val="1"/>
                <pt idx="0">
                  <v>Depreciation</v>
                </pt>
              </strCache>
            </strRef>
          </tx>
          <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Chart2!$B$62:$N$63</f>
            </multiLvlStrRef>
          </cat>
          <val>
            <numRef>
              <f>Chart2!$B$66:$N$66</f>
              <numCache>
                <formatCode>#,##0_ </formatCode>
                <ptCount val="13"/>
                <pt idx="5">
                  <v>0.30474</v>
                </pt>
                <pt idx="6">
                  <v>0.30475</v>
                </pt>
                <pt idx="7">
                  <v>0.30474</v>
                </pt>
              </numCache>
            </numRef>
          </val>
        </ser>
        <ser>
          <idx val="11"/>
          <order val="11"/>
          <tx>
            <strRef>
              <f>Chart2!$A$75</f>
              <strCache>
                <ptCount val="1"/>
                <pt idx="0">
                  <v>Profit</v>
                </pt>
              </strCache>
            </strRef>
          </tx>
          <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Chart2!$B$62:$N$63</f>
            </multiLvlStrRef>
          </cat>
          <val>
            <numRef>
              <f>Chart2!$B$75:$N$75</f>
              <numCache>
                <formatCode>#,##0_ </formatCode>
                <ptCount val="13"/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0"/>
        <overlap val="100"/>
        <axId val="107328256"/>
        <axId val="107329792"/>
      </barChart>
      <lineChart>
        <grouping val="standard"/>
        <varyColors val="0"/>
        <ser>
          <idx val="12"/>
          <order val="12"/>
          <tx>
            <strRef>
              <f>Chart2!$A$77</f>
              <strCache>
                <ptCount val="1"/>
                <pt idx="0">
                  <v>Total</v>
                </pt>
              </strCache>
            </strRef>
          </tx>
          <spPr>
            <a:ln w="28575">
              <a:noFill/>
              <a:prstDash val="solid"/>
            </a:ln>
          </spPr>
          <marker>
            <symbol val="dot"/>
            <size val="2"/>
            <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spPr>
          </marker>
          <dLbls>
            <dLbl>
              <idx val="0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4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5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6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7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9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0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1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b="1" lang="zh-CN" sz="1100">
                    <a:solidFill>
                      <a:srgbClr val="C00000"/>
                    </a:solidFill>
                  </a:defRPr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Chart2!$B$62:$N$63</f>
            </multiLvlStrRef>
          </cat>
          <val>
            <numRef>
              <f>Chart2!$B$77:$N$77</f>
              <numCache>
                <formatCode>_ * #,##0_ ;_ * \-#,##0_ ;_ * "-"??_ ;_ @_ </formatCode>
                <ptCount val="13"/>
                <pt idx="1">
                  <v>266.56323</v>
                </pt>
                <pt idx="2">
                  <v>266.08755</v>
                </pt>
                <pt idx="3">
                  <v>268.77384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  <smooth val="0"/>
        </ser>
        <ser>
          <idx val="13"/>
          <order val="13"/>
          <tx>
            <strRef>
              <f>Chart2!$A$76</f>
              <strCache>
                <ptCount val="1"/>
                <pt idx="0">
                  <v> PL% </v>
                </pt>
              </strCache>
            </strRef>
          </tx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dPt>
            <idx val="9"/>
            <bubble3D val="0"/>
            <spPr>
              <a:ln>
                <a:prstDash val="solid"/>
              </a:ln>
            </spPr>
          </dPt>
          <dLbls>
            <dLbl>
              <idx val="9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1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Chart2!$B$62:$N$63</f>
            </multiLvlStrRef>
          </cat>
          <val>
            <numRef>
              <f>Chart2!$B$76:$N$76</f>
              <numCache>
                <formatCode>#,##0_ </formatCode>
                <ptCount val="13"/>
                <pt idx="9">
                  <formatCode>0.00%</formatCode>
                  <v>0</v>
                </pt>
                <pt idx="10">
                  <formatCode>0.00%</formatCode>
                  <v>0</v>
                </pt>
                <pt idx="11">
                  <formatCode>0.00%</formatCode>
                  <v>0</v>
                </pt>
              </numCache>
            </numRef>
          </val>
          <smooth val="0"/>
        </ser>
        <dLbls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07328256"/>
        <axId val="107329792"/>
      </lineChart>
      <catAx>
        <axId val="10732825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zh-CN"/>
            </a:pPr>
            <a:r>
              <a:t/>
            </a:r>
            <a:endParaRPr lang="zh-CN"/>
          </a:p>
        </txPr>
        <crossAx val="107329792"/>
        <crosses val="autoZero"/>
        <auto val="1"/>
        <lblAlgn val="ctr"/>
        <lblOffset val="100"/>
        <tickLblSkip val="1"/>
        <tickMarkSkip val="1"/>
        <noMultiLvlLbl val="0"/>
      </catAx>
      <valAx>
        <axId val="107329792"/>
        <scaling>
          <orientation val="minMax"/>
        </scaling>
        <delete val="0"/>
        <axPos val="l"/>
        <majorGridlines>
          <spPr>
            <a:ln w="3175">
              <a:solidFill>
                <a:srgbClr val="C0C0C0"/>
              </a:solidFill>
              <a:prstDash val="sysDash"/>
            </a:ln>
          </spPr>
        </majorGridlines>
        <numFmt formatCode="#,##0_ " sourceLinked="1"/>
        <majorTickMark val="in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zh-CN"/>
            </a:pPr>
            <a:r>
              <a:t/>
            </a:r>
            <a:endParaRPr lang="zh-CN"/>
          </a:p>
        </txPr>
        <crossAx val="107328256"/>
        <crosses val="autoZero"/>
        <crossBetween val="between"/>
      </valAx>
    </plotArea>
    <legend>
      <legendPos val="b"/>
      <legendEntry>
        <idx val="0"/>
        <delete val="1"/>
      </legendEntry>
      <legendEntry>
        <idx val="11"/>
        <delete val="1"/>
      </legendEntry>
      <legendEntry>
        <idx val="12"/>
        <delete val="1"/>
      </legendEntry>
      <legendEntry>
        <idx val="13"/>
        <delete val="1"/>
      </legendEntry>
      <layout>
        <manualLayout>
          <xMode val="edge"/>
          <yMode val="edge"/>
          <x val="0.1297853271254065"/>
          <y val="0.8793741946132552"/>
          <w val="0.7609367845971161"/>
          <h val="0.101191760772333"/>
        </manualLayout>
      </layout>
      <overlay val="0"/>
      <spPr>
        <a:ln>
          <a:solidFill>
            <a:srgbClr val="4F81BD"/>
          </a:solidFill>
          <a:prstDash val="solid"/>
        </a:ln>
      </spPr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altLang="zh-CN" b="1" baseline="0" i="0" lang="en-US" sz="1400">
                <effectLst/>
              </a:rPr>
              <a:t>MBT PL for 3 months</a:t>
            </a:r>
            <a:endParaRPr altLang="zh-CN" lang="zh-CN" sz="1400">
              <effectLst/>
            </a:endParaRPr>
          </a:p>
        </rich>
      </tx>
      <overlay val="0"/>
    </title>
    <plotArea>
      <layout>
        <manualLayout>
          <layoutTarget val="inner"/>
          <xMode val="edge"/>
          <yMode val="edge"/>
          <x val="0.08716583511906165"/>
          <y val="0.09166817469534506"/>
          <w val="0.8814013266527837"/>
          <h val="0.7761027335422699"/>
        </manualLayout>
      </layout>
      <barChart>
        <barDir val="col"/>
        <grouping val="stacked"/>
        <varyColors val="0"/>
        <ser>
          <idx val="0"/>
          <order val="0"/>
          <tx>
            <strRef>
              <f>Chart2!$A$74</f>
              <strCache>
                <ptCount val="1"/>
                <pt idx="0">
                  <v>Revenue</v>
                </pt>
              </strCache>
            </strRef>
          </tx>
          <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Chart2!$B$62:$N$63</f>
            </multiLvlStrRef>
          </cat>
          <val>
            <numRef>
              <f>Chart2!$B$74:$N$74</f>
              <numCache>
                <formatCode>#,##0_ </formatCode>
                <ptCount val="13"/>
                <pt idx="1">
                  <v>266.56323</v>
                </pt>
                <pt idx="2">
                  <v>266.08755</v>
                </pt>
                <pt idx="3">
                  <v>268.77384</v>
                </pt>
              </numCache>
            </numRef>
          </val>
        </ser>
        <ser>
          <idx val="1"/>
          <order val="1"/>
          <tx>
            <strRef>
              <f>Chart2!$A$64</f>
              <strCache>
                <ptCount val="1"/>
                <pt idx="0">
                  <v>Personnel</v>
                </pt>
              </strCache>
            </strRef>
          </tx>
          <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Chart2!$B$62:$N$63</f>
            </multiLvlStrRef>
          </cat>
          <val>
            <numRef>
              <f>Chart2!$B$64:$N$64</f>
              <numCache>
                <formatCode>#,##0_ </formatCode>
                <ptCount val="13"/>
                <pt idx="5">
                  <v>81.08683000000001</v>
                </pt>
                <pt idx="6">
                  <v>80.61098999999999</v>
                </pt>
                <pt idx="7">
                  <v>72.77047999999999</v>
                </pt>
              </numCache>
            </numRef>
          </val>
        </ser>
        <ser>
          <idx val="2"/>
          <order val="2"/>
          <tx>
            <strRef>
              <f>Chart2!$A$65</f>
              <strCache>
                <ptCount val="1"/>
                <pt idx="0">
                  <v>OS</v>
                </pt>
              </strCache>
            </strRef>
          </tx>
          <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Chart2!$B$62:$N$63</f>
            </multiLvlStrRef>
          </cat>
          <val>
            <numRef>
              <f>Chart2!$B$65:$N$65</f>
              <numCache>
                <formatCode>#,##0_ </formatCode>
                <ptCount val="13"/>
                <pt idx="5">
                  <v>67.04300000000001</v>
                </pt>
                <pt idx="6">
                  <v>61.958</v>
                </pt>
                <pt idx="7">
                  <v>70.97999999999999</v>
                </pt>
              </numCache>
            </numRef>
          </val>
        </ser>
        <ser>
          <idx val="3"/>
          <order val="3"/>
          <tx>
            <strRef>
              <f>Chart2!$A$67</f>
              <strCache>
                <ptCount val="1"/>
                <pt idx="0">
                  <v>Rental</v>
                </pt>
              </strCache>
            </strRef>
          </tx>
          <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Chart2!$B$62:$N$63</f>
            </multiLvlStrRef>
          </cat>
          <val>
            <numRef>
              <f>Chart2!$B$67:$N$67</f>
              <numCache>
                <formatCode>#,##0_ </formatCode>
                <ptCount val="13"/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4"/>
          <order val="4"/>
          <tx>
            <strRef>
              <f>Chart2!$A$69</f>
              <strCache>
                <ptCount val="1"/>
                <pt idx="0">
                  <v>IS (Infra+Service)</v>
                </pt>
              </strCache>
            </strRef>
          </tx>
          <spPr>
            <a:solidFill>
              <a:srgbClr val="4BACC6"/>
            </a:solidFill>
            <a:ln w="28575"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Chart2!$B$62:$N$63</f>
            </multiLvlStrRef>
          </cat>
          <val>
            <numRef>
              <f>Chart2!$B$69:$N$69</f>
              <numCache>
                <formatCode>#,##0_ </formatCode>
                <ptCount val="13"/>
                <pt idx="5">
                  <v>10.0929</v>
                </pt>
                <pt idx="6">
                  <v>10.07236</v>
                </pt>
                <pt idx="7">
                  <v>10.05571</v>
                </pt>
              </numCache>
            </numRef>
          </val>
        </ser>
        <ser>
          <idx val="5"/>
          <order val="5"/>
          <tx>
            <strRef>
              <f>Chart2!$A$70</f>
              <strCache>
                <ptCount val="1"/>
                <pt idx="0">
                  <v>Schina Allocation</v>
                </pt>
              </strCache>
            </strRef>
          </tx>
          <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Chart2!$B$62:$N$63</f>
            </multiLvlStrRef>
          </cat>
          <val>
            <numRef>
              <f>Chart2!$B$70:$N$70</f>
              <numCache>
                <formatCode>#,##0_ </formatCode>
                <ptCount val="13"/>
                <pt idx="5">
                  <v>9.745967252747258</v>
                </pt>
                <pt idx="6">
                  <v>8.980009832402237</v>
                </pt>
                <pt idx="7">
                  <v>38.21991912087913</v>
                </pt>
              </numCache>
            </numRef>
          </val>
        </ser>
        <ser>
          <idx val="6"/>
          <order val="6"/>
          <tx>
            <strRef>
              <f>Chart2!$A$73</f>
              <strCache>
                <ptCount val="1"/>
                <pt idx="0">
                  <v>CSC Allocation</v>
                </pt>
              </strCache>
            </strRef>
          </tx>
          <spPr>
            <a:solidFill>
              <a:srgbClr val="00FFFF"/>
            </a:solidFill>
            <a:ln w="0">
              <a:solidFill>
                <a:sysClr lastClr="000000" val="windowText"/>
              </a:solidFill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Chart2!$B$62:$N$63</f>
            </multiLvlStrRef>
          </cat>
          <val>
            <numRef>
              <f>Chart2!$B$73:$N$73</f>
              <numCache>
                <formatCode>#,##0_ </formatCode>
                <ptCount val="13"/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7"/>
          <order val="7"/>
          <tx>
            <strRef>
              <f>Chart2!$A$71</f>
              <strCache>
                <ptCount val="1"/>
                <pt idx="0">
                  <v>Travelling </v>
                </pt>
              </strCache>
            </strRef>
          </tx>
          <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Chart2!$B$62:$N$63</f>
            </multiLvlStrRef>
          </cat>
          <val>
            <numRef>
              <f>Chart2!$B$71:$N$71</f>
              <numCache>
                <formatCode>#,##0_ </formatCode>
                <ptCount val="13"/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8"/>
          <order val="8"/>
          <tx>
            <strRef>
              <f>Chart2!$A$72</f>
              <strCache>
                <ptCount val="1"/>
                <pt idx="0">
                  <v>Other SGA</v>
                </pt>
              </strCache>
            </strRef>
          </tx>
          <spPr>
            <a:solidFill>
              <a:srgbClr val="CCCCFF"/>
            </a:solidFill>
            <a:ln w="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Chart2!$B$62:$N$63</f>
            </multiLvlStrRef>
          </cat>
          <val>
            <numRef>
              <f>Chart2!$B$72:$N$72</f>
              <numCache>
                <formatCode>#,##0_ </formatCode>
                <ptCount val="13"/>
                <pt idx="5">
                  <v>0.1429800000000001</v>
                </pt>
                <pt idx="6">
                  <v>0.1978399999999999</v>
                </pt>
                <pt idx="7">
                  <v>0.1909499999999998</v>
                </pt>
              </numCache>
            </numRef>
          </val>
        </ser>
        <ser>
          <idx val="9"/>
          <order val="9"/>
          <tx>
            <strRef>
              <f>Chart2!$A$68</f>
              <strCache>
                <ptCount val="1"/>
                <pt idx="0">
                  <v>CAD</v>
                </pt>
              </strCache>
            </strRef>
          </tx>
          <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Chart2!$B$62:$N$63</f>
            </multiLvlStrRef>
          </cat>
          <val>
            <numRef>
              <f>Chart2!$B$68:$N$68</f>
              <numCache>
                <formatCode>#,##0_ </formatCode>
                <ptCount val="13"/>
                <pt idx="5">
                  <v>4.773184433962262</v>
                </pt>
                <pt idx="6">
                  <v>7.427871698113207</v>
                </pt>
                <pt idx="7">
                  <v>6.609539306930695</v>
                </pt>
              </numCache>
            </numRef>
          </val>
        </ser>
        <ser>
          <idx val="10"/>
          <order val="10"/>
          <tx>
            <strRef>
              <f>Chart2!$A$66</f>
              <strCache>
                <ptCount val="1"/>
                <pt idx="0">
                  <v>Depreciation</v>
                </pt>
              </strCache>
            </strRef>
          </tx>
          <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Chart2!$B$62:$N$63</f>
            </multiLvlStrRef>
          </cat>
          <val>
            <numRef>
              <f>Chart2!$B$66:$N$66</f>
              <numCache>
                <formatCode>#,##0_ </formatCode>
                <ptCount val="13"/>
                <pt idx="5">
                  <v>0.30474</v>
                </pt>
                <pt idx="6">
                  <v>0.30475</v>
                </pt>
                <pt idx="7">
                  <v>0.30474</v>
                </pt>
              </numCache>
            </numRef>
          </val>
        </ser>
        <ser>
          <idx val="11"/>
          <order val="11"/>
          <tx>
            <strRef>
              <f>Chart2!$A$75</f>
              <strCache>
                <ptCount val="1"/>
                <pt idx="0">
                  <v>Profit</v>
                </pt>
              </strCache>
            </strRef>
          </tx>
          <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Chart2!$B$62:$N$63</f>
            </multiLvlStrRef>
          </cat>
          <val>
            <numRef>
              <f>Chart2!$B$75:$N$75</f>
              <numCache>
                <formatCode>#,##0_ </formatCode>
                <ptCount val="13"/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0"/>
        <overlap val="100"/>
        <axId val="108026496"/>
        <axId val="108056960"/>
      </barChart>
      <lineChart>
        <grouping val="standard"/>
        <varyColors val="0"/>
        <ser>
          <idx val="12"/>
          <order val="12"/>
          <tx>
            <strRef>
              <f>Chart2!$A$77</f>
              <strCache>
                <ptCount val="1"/>
                <pt idx="0">
                  <v>Total</v>
                </pt>
              </strCache>
            </strRef>
          </tx>
          <spPr>
            <a:ln w="28575">
              <a:noFill/>
              <a:prstDash val="solid"/>
            </a:ln>
          </spPr>
          <marker>
            <symbol val="dot"/>
            <size val="2"/>
            <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spPr>
          </marker>
          <dLbls>
            <dLbl>
              <idx val="0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4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5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6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7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9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0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1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b="1" lang="zh-CN" sz="1100">
                    <a:solidFill>
                      <a:srgbClr val="C00000"/>
                    </a:solidFill>
                  </a:defRPr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Chart2!$B$62:$N$63</f>
            </multiLvlStrRef>
          </cat>
          <val>
            <numRef>
              <f>Chart2!$B$77:$N$77</f>
              <numCache>
                <formatCode>_ * #,##0_ ;_ * \-#,##0_ ;_ * "-"??_ ;_ @_ </formatCode>
                <ptCount val="13"/>
                <pt idx="1">
                  <v>266.56323</v>
                </pt>
                <pt idx="2">
                  <v>266.08755</v>
                </pt>
                <pt idx="3">
                  <v>268.77384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  <smooth val="0"/>
        </ser>
        <ser>
          <idx val="13"/>
          <order val="13"/>
          <tx>
            <strRef>
              <f>Chart2!$A$76</f>
              <strCache>
                <ptCount val="1"/>
                <pt idx="0">
                  <v> PL% </v>
                </pt>
              </strCache>
            </strRef>
          </tx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dPt>
            <idx val="9"/>
            <bubble3D val="0"/>
            <spPr>
              <a:ln>
                <a:prstDash val="solid"/>
              </a:ln>
            </spPr>
          </dPt>
          <dLbls>
            <dLbl>
              <idx val="9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1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5">
                    <v>Apr</v>
                  </pt>
                  <pt idx="6">
                    <v>May</v>
                  </pt>
                  <pt idx="7">
                    <v>Jun</v>
                  </pt>
                  <pt idx="9">
                    <v>Apr</v>
                  </pt>
                  <pt idx="10">
                    <v>May</v>
                  </pt>
                  <pt idx="11">
                    <v>Jun</v>
                  </pt>
                </lvl>
                <lvl>
                  <pt idx="1">
                    <v>Revenue</v>
                  </pt>
                  <pt idx="5">
                    <v>Cost</v>
                  </pt>
                  <pt idx="9">
                    <v>Profit</v>
                  </pt>
                </lvl>
              </multiLvlStrCache>
              <f>Chart2!$B$62:$N$63</f>
            </multiLvlStrRef>
          </cat>
          <val>
            <numRef>
              <f>Chart2!$B$76:$N$76</f>
              <numCache>
                <formatCode>#,##0_ </formatCode>
                <ptCount val="13"/>
                <pt idx="9">
                  <formatCode>0.00%</formatCode>
                  <v>0</v>
                </pt>
                <pt idx="10">
                  <formatCode>0.00%</formatCode>
                  <v>0</v>
                </pt>
                <pt idx="11">
                  <formatCode>0.00%</formatCode>
                  <v>0</v>
                </pt>
              </numCache>
            </numRef>
          </val>
          <smooth val="0"/>
        </ser>
        <dLbls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08026496"/>
        <axId val="108056960"/>
      </lineChart>
      <catAx>
        <axId val="10802649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zh-CN"/>
            </a:pPr>
            <a:r>
              <a:t/>
            </a:r>
            <a:endParaRPr lang="zh-CN"/>
          </a:p>
        </txPr>
        <crossAx val="108056960"/>
        <crosses val="autoZero"/>
        <auto val="1"/>
        <lblAlgn val="ctr"/>
        <lblOffset val="100"/>
        <tickLblSkip val="1"/>
        <tickMarkSkip val="1"/>
        <noMultiLvlLbl val="0"/>
      </catAx>
      <valAx>
        <axId val="108056960"/>
        <scaling>
          <orientation val="minMax"/>
        </scaling>
        <delete val="0"/>
        <axPos val="l"/>
        <majorGridlines>
          <spPr>
            <a:ln w="3175">
              <a:solidFill>
                <a:srgbClr val="C0C0C0"/>
              </a:solidFill>
              <a:prstDash val="sysDash"/>
            </a:ln>
          </spPr>
        </majorGridlines>
        <numFmt formatCode="#,##0_ " sourceLinked="1"/>
        <majorTickMark val="in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zh-CN"/>
            </a:pPr>
            <a:r>
              <a:t/>
            </a:r>
            <a:endParaRPr lang="zh-CN"/>
          </a:p>
        </txPr>
        <crossAx val="108026496"/>
        <crosses val="autoZero"/>
        <crossBetween val="between"/>
      </valAx>
    </plotArea>
    <legend>
      <legendPos val="b"/>
      <legendEntry>
        <idx val="0"/>
        <delete val="1"/>
      </legendEntry>
      <legendEntry>
        <idx val="11"/>
        <delete val="1"/>
      </legendEntry>
      <legendEntry>
        <idx val="12"/>
        <delete val="1"/>
      </legendEntry>
      <legendEntry>
        <idx val="13"/>
        <delete val="1"/>
      </legendEntry>
      <layout>
        <manualLayout>
          <xMode val="edge"/>
          <yMode val="edge"/>
          <x val="0.1297853271254065"/>
          <y val="0.8793741946132552"/>
          <w val="0.7609367845971161"/>
          <h val="0.101191760772333"/>
        </manualLayout>
      </layout>
      <overlay val="0"/>
      <spPr>
        <a:ln>
          <a:solidFill>
            <a:srgbClr val="4F81BD"/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b="1" sz="1400">
                <a:latin typeface="+mn-lt"/>
              </a:defRPr>
            </a:pPr>
            <a:r>
              <a:rPr altLang="zh-CN" b="1" lang="en-US" sz="1400">
                <a:latin typeface="+mn-lt"/>
              </a:rPr>
              <a:t>SQA</a:t>
            </a:r>
            <a:r>
              <a:rPr altLang="zh-CN" b="1" baseline="0" lang="en-US" sz="1400">
                <a:latin typeface="+mn-lt"/>
              </a:rPr>
              <a:t> PJ Apr. PL Chart </a:t>
            </a:r>
            <a:endParaRPr altLang="en-US" b="1" lang="zh-CN" sz="1400">
              <a:latin typeface="+mn-lt"/>
            </a:endParaRPr>
          </a:p>
        </rich>
      </tx>
      <overlay val="1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x val="0.1426204631472571"/>
          <y val="0.1587661606104341"/>
          <w val="0.7081271833009162"/>
          <h val="0.7290169355280706"/>
        </manualLayout>
      </layout>
      <barChart>
        <barDir val="col"/>
        <grouping val="stacked"/>
        <varyColors val="0"/>
        <ser>
          <idx val="0"/>
          <order val="0"/>
          <spPr>
            <a:noFill/>
            <a:ln w="25400">
              <a:noFill/>
              <a:prstDash val="solid"/>
            </a:ln>
          </spPr>
          <invertIfNegative val="0"/>
          <cat>
            <strRef>
              <f>Chart!$A$3:$A$8</f>
              <strCache>
                <ptCount val="6"/>
                <pt idx="0">
                  <v>Red</v>
                </pt>
                <pt idx="1">
                  <v>Lyon</v>
                </pt>
                <pt idx="2">
                  <v>PFX</v>
                </pt>
                <pt idx="3">
                  <v>LSI</v>
                </pt>
                <pt idx="4">
                  <v>Gloria</v>
                </pt>
                <pt idx="5">
                  <v>MBT</v>
                </pt>
              </strCache>
            </strRef>
          </cat>
          <val>
            <numRef>
              <f>Chart!$E$3:$E$8</f>
              <numCache>
                <formatCode>#,##0</formatCode>
                <ptCount val="6"/>
                <pt idx="0">
                  <v>-86.87765091661709</v>
                </pt>
                <pt idx="1">
                  <v>-89.35224422091503</v>
                </pt>
                <pt idx="2">
                  <v>-170.9750640447533</v>
                </pt>
                <pt idx="3">
                  <v>-170.9750640447533</v>
                </pt>
                <pt idx="4">
                  <v>-118.8438552963554</v>
                </pt>
                <pt idx="5">
                  <v>-182.7158299981876</v>
                </pt>
              </numCache>
            </numRef>
          </val>
        </ser>
        <ser>
          <idx val="1"/>
          <order val="1"/>
          <spPr>
            <a:ln>
              <a:solidFill>
                <a:srgbClr val="000000"/>
              </a:solidFill>
              <a:prstDash val="solid"/>
            </a:ln>
          </spPr>
          <invertIfNegative val="0"/>
          <dPt>
            <idx val="3"/>
            <invertIfNegative val="0"/>
            <bubble3D val="0"/>
            <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Pt>
            <idx val="5"/>
            <invertIfNegative val="0"/>
            <bubble3D val="0"/>
            <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Chart!$A$3:$A$8</f>
              <strCache>
                <ptCount val="6"/>
                <pt idx="0">
                  <v>Red</v>
                </pt>
                <pt idx="1">
                  <v>Lyon</v>
                </pt>
                <pt idx="2">
                  <v>PFX</v>
                </pt>
                <pt idx="3">
                  <v>LSI</v>
                </pt>
                <pt idx="4">
                  <v>Gloria</v>
                </pt>
                <pt idx="5">
                  <v>MBT</v>
                </pt>
              </strCache>
            </strRef>
          </cat>
          <val>
            <numRef>
              <f>Chart!$F$3:$F$8</f>
              <numCache>
                <formatCode>0_);[Red]\(0\)</formatCode>
                <ptCount val="6"/>
                <pt idx="0">
                  <v>86.87765091661709</v>
                </pt>
                <pt idx="1">
                  <v>2.47459330429794</v>
                </pt>
                <pt idx="2">
                  <v>81.62281982383824</v>
                </pt>
                <pt idx="3">
                  <v>0</v>
                </pt>
                <pt idx="4">
                  <v>0</v>
                </pt>
                <pt idx="5">
                  <v>119.3974665822883</v>
                </pt>
              </numCache>
            </numRef>
          </val>
        </ser>
        <ser>
          <idx val="2"/>
          <order val="2"/>
          <spPr>
            <a:solidFill>
              <a:schemeClr val="accent1">
                <a:lumMod val="40000"/>
                <a:lumOff val="60000"/>
              </a:schemeClr>
            </a:solidFill>
            <a:ln>
              <a:solidFill>
                <a:srgbClr val="000000"/>
              </a:solidFill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chemeClr val="bg2">
                  <a:lumMod val="75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Lbls>
            <dLbl>
              <idx val="7"/>
              <spPr>
                <a:solidFill>
                  <a:schemeClr val="accent6">
                    <a:lumMod val="40000"/>
                    <a:lumOff val="60000"/>
                  </a:schemeClr>
                </a:solidFill>
                <a:ln>
                  <a:prstDash val="solid"/>
                </a:ln>
              </spPr>
              <txPr>
                <a:bodyPr/>
                <a:lstStyle/>
                <a:p>
                  <a:pPr>
                    <a:defRPr/>
                  </a:pPr>
                  <a:r>
                    <a:t/>
                  </a:r>
                  <a:endParaRPr lang="zh-CN"/>
                </a:p>
              </txPr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Chart!$A$3:$A$8</f>
              <strCache>
                <ptCount val="6"/>
                <pt idx="0">
                  <v>Red</v>
                </pt>
                <pt idx="1">
                  <v>Lyon</v>
                </pt>
                <pt idx="2">
                  <v>PFX</v>
                </pt>
                <pt idx="3">
                  <v>LSI</v>
                </pt>
                <pt idx="4">
                  <v>Gloria</v>
                </pt>
                <pt idx="5">
                  <v>MBT</v>
                </pt>
              </strCache>
            </strRef>
          </cat>
          <val>
            <numRef>
              <f>Chart!$G$3:$G$8</f>
              <numCache>
                <formatCode>0_);[Red]\(0\)</formatCode>
                <ptCount val="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52.13120874839785</v>
                </pt>
                <pt idx="4">
                  <v>55.52549188045617</v>
                </pt>
                <pt idx="5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8"/>
        <overlap val="100"/>
        <axId val="88040576"/>
        <axId val="88042112"/>
      </barChart>
      <catAx>
        <axId val="88040576"/>
        <scaling>
          <orientation val="minMax"/>
        </scaling>
        <delete val="0"/>
        <axPos val="b"/>
        <numFmt formatCode="General" sourceLinked="1"/>
        <majorTickMark val="in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+mn-lt"/>
                <a:ea typeface="宋体"/>
                <a:cs typeface="宋体"/>
              </a:defRPr>
            </a:pPr>
            <a:r>
              <a:t/>
            </a:r>
            <a:endParaRPr lang="zh-CN"/>
          </a:p>
        </txPr>
        <crossAx val="88042112"/>
        <auto val="1"/>
        <lblAlgn val="ctr"/>
        <lblOffset val="100"/>
        <tickLblSkip val="1"/>
        <tickMarkSkip val="1"/>
        <noMultiLvlLbl val="0"/>
      </catAx>
      <valAx>
        <axId val="88042112"/>
        <scaling>
          <orientation val="minMax"/>
          <min val="0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#,##0" sourceLinked="1"/>
        <majorTickMark val="in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+mn-lt"/>
                <a:ea typeface="宋体"/>
                <a:cs typeface="宋体"/>
              </a:defRPr>
            </a:pPr>
            <a:r>
              <a:t/>
            </a:r>
            <a:endParaRPr lang="zh-CN"/>
          </a:p>
        </txPr>
        <crossAx val="88040576"/>
        <crosses val="autoZero"/>
        <crossBetween val="between"/>
        <majorUnit val="100"/>
      </valAx>
    </plotArea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altLang="zh-CN" b="1" baseline="0" i="0" lang="en-US" sz="1400">
                <effectLst/>
              </a:rPr>
              <a:t>12272</a:t>
            </a:r>
            <a:r>
              <a:rPr altLang="en-US" b="1" baseline="0" i="0" lang="zh-CN" sz="1400">
                <effectLst/>
              </a:rPr>
              <a:t> </a:t>
            </a:r>
            <a:r>
              <a:rPr altLang="zh-CN" b="1" baseline="0" i="0" lang="en-US" sz="1400">
                <effectLst/>
              </a:rPr>
              <a:t>PL for 2017</a:t>
            </a:r>
            <a:endParaRPr altLang="zh-CN" lang="zh-CN" sz="1400">
              <effectLst/>
            </a:endParaRPr>
          </a:p>
        </rich>
      </tx>
      <overlay val="0"/>
    </title>
    <plotArea>
      <layout>
        <manualLayout>
          <layoutTarget val="inner"/>
          <xMode val="edge"/>
          <yMode val="edge"/>
          <x val="0.04359435560863283"/>
          <y val="0.0973348149956061"/>
          <w val="0.9249728107211375"/>
          <h val="0.7704359741412603"/>
        </manualLayout>
      </layout>
      <barChart>
        <barDir val="col"/>
        <grouping val="stacked"/>
        <varyColors val="0"/>
        <ser>
          <idx val="0"/>
          <order val="0"/>
          <tx>
            <strRef>
              <f>Chart3!$A$52</f>
              <strCache>
                <ptCount val="1"/>
                <pt idx="0">
                  <v>Revenue</v>
                </pt>
              </strCache>
            </strRef>
          </tx>
          <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Chart3!$B$79:$AO$80</f>
            </multiLvlStrRef>
          </cat>
          <val>
            <numRef>
              <f>Chart3!$B$52:$AO$52</f>
              <numCache>
                <formatCode>#,##0_ </formatCode>
                <ptCount val="40"/>
                <pt idx="1">
                  <v>1053.243</v>
                </pt>
                <pt idx="2">
                  <v>1062.045</v>
                </pt>
                <pt idx="3">
                  <v>1081.82733</v>
                </pt>
                <pt idx="4">
                  <v>1077.15696</v>
                </pt>
                <pt idx="5">
                  <v>1197.26153</v>
                </pt>
                <pt idx="6">
                  <v>1435.78372</v>
                </pt>
                <pt idx="7">
                  <v>1317.91153</v>
                </pt>
                <pt idx="8">
                  <v>1241.23653</v>
                </pt>
                <pt idx="9">
                  <v>1038.496</v>
                </pt>
                <pt idx="10">
                  <v>1081.909</v>
                </pt>
                <pt idx="11">
                  <v>1110.379</v>
                </pt>
                <pt idx="12">
                  <v>1122.379</v>
                </pt>
              </numCache>
            </numRef>
          </val>
        </ser>
        <ser>
          <idx val="1"/>
          <order val="1"/>
          <tx>
            <strRef>
              <f>Chart3!$A$42</f>
              <strCache>
                <ptCount val="1"/>
                <pt idx="0">
                  <v>Personnel</v>
                </pt>
              </strCache>
            </strRef>
          </tx>
          <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Chart3!$B$79:$AO$80</f>
            </multiLvlStrRef>
          </cat>
          <val>
            <numRef>
              <f>Chart3!$B$42:$AO$42</f>
              <numCache>
                <formatCode>#,##0_ </formatCode>
                <ptCount val="40"/>
                <pt idx="14">
                  <v>147.87578</v>
                </pt>
                <pt idx="15">
                  <v>224.06965</v>
                </pt>
                <pt idx="16">
                  <v>87.81115999999997</v>
                </pt>
                <pt idx="17">
                  <v>150.53789</v>
                </pt>
                <pt idx="18">
                  <v>173.6367346</v>
                </pt>
                <pt idx="19">
                  <v>176.2931883</v>
                </pt>
                <pt idx="20">
                  <v>173.6367346</v>
                </pt>
                <pt idx="21">
                  <v>173.6367346</v>
                </pt>
                <pt idx="22">
                  <v>190.4713002</v>
                </pt>
                <pt idx="23">
                  <v>173.6367346</v>
                </pt>
                <pt idx="24">
                  <v>173.6367346</v>
                </pt>
                <pt idx="25">
                  <v>187.8148465</v>
                </pt>
              </numCache>
            </numRef>
          </val>
        </ser>
        <ser>
          <idx val="2"/>
          <order val="2"/>
          <tx>
            <strRef>
              <f>Chart3!$A$43</f>
              <strCache>
                <ptCount val="1"/>
                <pt idx="0">
                  <v>OS</v>
                </pt>
              </strCache>
            </strRef>
          </tx>
          <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Chart3!$B$79:$AO$80</f>
            </multiLvlStrRef>
          </cat>
          <val>
            <numRef>
              <f>Chart3!$B$43:$AO$43</f>
              <numCache>
                <formatCode>#,##0_ </formatCode>
                <ptCount val="40"/>
                <pt idx="14">
                  <v>659.171</v>
                </pt>
                <pt idx="15">
                  <v>621.0662</v>
                </pt>
                <pt idx="16">
                  <v>572.5026</v>
                </pt>
                <pt idx="17">
                  <v>649.6061999999999</v>
                </pt>
                <pt idx="18">
                  <v>0</v>
                </pt>
                <pt idx="19">
                  <v>934.5</v>
                </pt>
                <pt idx="20">
                  <v>865.5</v>
                </pt>
                <pt idx="21">
                  <v>769.5</v>
                </pt>
                <pt idx="22">
                  <v>565.5</v>
                </pt>
                <pt idx="23">
                  <v>600</v>
                </pt>
                <pt idx="24">
                  <v>624</v>
                </pt>
                <pt idx="25">
                  <v>613.5</v>
                </pt>
              </numCache>
            </numRef>
          </val>
        </ser>
        <ser>
          <idx val="3"/>
          <order val="3"/>
          <tx>
            <strRef>
              <f>Chart3!$A$45</f>
              <strCache>
                <ptCount val="1"/>
                <pt idx="0">
                  <v>Rental</v>
                </pt>
              </strCache>
            </strRef>
          </tx>
          <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Chart3!$B$79:$AO$80</f>
            </multiLvlStrRef>
          </cat>
          <val>
            <numRef>
              <f>Chart3!$B$45:$AO$45</f>
              <numCache>
                <formatCode>#,##0_ </formatCode>
                <ptCount val="40"/>
                <pt idx="14">
                  <v>27.83549</v>
                </pt>
                <pt idx="15">
                  <v>23.40161753731343</v>
                </pt>
                <pt idx="16">
                  <v>33.1059543283582</v>
                </pt>
                <pt idx="17">
                  <v>33.3340175399361</v>
                </pt>
                <pt idx="18">
                  <v>32.16037214057508</v>
                </pt>
                <pt idx="19">
                  <v>37.46207314984709</v>
                </pt>
                <pt idx="20">
                  <v>32.35383196261682</v>
                </pt>
                <pt idx="21">
                  <v>29.97343142857142</v>
                </pt>
                <pt idx="22">
                  <v>25.79797475409836</v>
                </pt>
                <pt idx="23">
                  <v>25.79797475409836</v>
                </pt>
                <pt idx="24">
                  <v>25.94433194719472</v>
                </pt>
                <pt idx="25">
                  <v>25.94433194719472</v>
                </pt>
              </numCache>
            </numRef>
          </val>
        </ser>
        <ser>
          <idx val="4"/>
          <order val="4"/>
          <tx>
            <strRef>
              <f>Chart3!$A$47</f>
              <strCache>
                <ptCount val="1"/>
                <pt idx="0">
                  <v>IS (Infra+Service)</v>
                </pt>
              </strCache>
            </strRef>
          </tx>
          <spPr>
            <a:solidFill>
              <a:srgbClr val="4BACC6"/>
            </a:solidFill>
            <a:ln w="28575"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Chart3!$B$79:$AO$80</f>
            </multiLvlStrRef>
          </cat>
          <val>
            <numRef>
              <f>Chart3!$B$47:$AO$47</f>
              <numCache>
                <formatCode>#,##0_ </formatCode>
                <ptCount val="40"/>
                <pt idx="14">
                  <v>39.3239</v>
                </pt>
                <pt idx="15">
                  <v>39.23264</v>
                </pt>
                <pt idx="16">
                  <v>39.23264</v>
                </pt>
                <pt idx="17">
                  <v>39.23264</v>
                </pt>
                <pt idx="18">
                  <v>39.4034442</v>
                </pt>
                <pt idx="19">
                  <v>39.4034442</v>
                </pt>
                <pt idx="20">
                  <v>39.4034442</v>
                </pt>
                <pt idx="21">
                  <v>39.4034442</v>
                </pt>
                <pt idx="22">
                  <v>39.4034442</v>
                </pt>
                <pt idx="23">
                  <v>39.4034442</v>
                </pt>
                <pt idx="24">
                  <v>39.4034442</v>
                </pt>
                <pt idx="25">
                  <v>39.4034442</v>
                </pt>
              </numCache>
            </numRef>
          </val>
        </ser>
        <ser>
          <idx val="5"/>
          <order val="5"/>
          <tx>
            <strRef>
              <f>Chart3!$A$48</f>
              <strCache>
                <ptCount val="1"/>
                <pt idx="0">
                  <v>Schina Allocation</v>
                </pt>
              </strCache>
            </strRef>
          </tx>
          <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Chart3!$B$79:$AO$80</f>
            </multiLvlStrRef>
          </cat>
          <val>
            <numRef>
              <f>Chart3!$B$48:$AO$48</f>
              <numCache>
                <formatCode>#,##0_ </formatCode>
                <ptCount val="40"/>
                <pt idx="14">
                  <v>29.23790175824177</v>
                </pt>
                <pt idx="15">
                  <v>24.69502703910615</v>
                </pt>
                <pt idx="16">
                  <v>95.54979780219782</v>
                </pt>
                <pt idx="17">
                  <v>28.76949166666668</v>
                </pt>
                <pt idx="18">
                  <v>26.46115791758242</v>
                </pt>
                <pt idx="19">
                  <v>104.5880273967392</v>
                </pt>
                <pt idx="20">
                  <v>25.55322255851064</v>
                </pt>
                <pt idx="21">
                  <v>25.93285337368421</v>
                </pt>
                <pt idx="22">
                  <v>94.69077674736843</v>
                </pt>
                <pt idx="23">
                  <v>26.59492208854167</v>
                </pt>
                <pt idx="24">
                  <v>22.06985438020833</v>
                </pt>
                <pt idx="25">
                  <v>96.94618896875002</v>
                </pt>
              </numCache>
            </numRef>
          </val>
        </ser>
        <ser>
          <idx val="6"/>
          <order val="6"/>
          <tx>
            <strRef>
              <f>Chart3!$A$51</f>
              <strCache>
                <ptCount val="1"/>
                <pt idx="0">
                  <v>CSC Allocation</v>
                </pt>
              </strCache>
            </strRef>
          </tx>
          <spPr>
            <a:solidFill>
              <a:srgbClr val="00FFFF"/>
            </a:solidFill>
            <a:ln w="0">
              <a:solidFill>
                <a:sysClr lastClr="000000" val="windowText"/>
              </a:solidFill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Chart3!$B$79:$AO$80</f>
            </multiLvlStrRef>
          </cat>
          <val>
            <numRef>
              <f>Chart3!$B$51:$AO$51</f>
              <numCache>
                <formatCode>#,##0_ </formatCode>
                <ptCount val="40"/>
                <pt idx="14">
                  <v>90.76276444366309</v>
                </pt>
                <pt idx="15">
                  <v>91.82917000452414</v>
                </pt>
                <pt idx="16">
                  <v>111.8320819403139</v>
                </pt>
                <pt idx="17">
                  <v>122.7705144208847</v>
                </pt>
                <pt idx="18">
                  <v>120.9557632261026</v>
                </pt>
                <pt idx="19">
                  <v>173.7725157144632</v>
                </pt>
                <pt idx="20">
                  <v>139.7305682122098</v>
                </pt>
                <pt idx="21">
                  <v>123.6249585911687</v>
                </pt>
                <pt idx="22">
                  <v>114.81166966795</v>
                </pt>
                <pt idx="23">
                  <v>88.74909414661991</v>
                </pt>
                <pt idx="24">
                  <v>93.57154888548025</v>
                </pt>
                <pt idx="25">
                  <v>113.2168118089244</v>
                </pt>
              </numCache>
            </numRef>
          </val>
        </ser>
        <ser>
          <idx val="7"/>
          <order val="7"/>
          <tx>
            <strRef>
              <f>Chart3!$A$49</f>
              <strCache>
                <ptCount val="1"/>
                <pt idx="0">
                  <v>Travelling </v>
                </pt>
              </strCache>
            </strRef>
          </tx>
          <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Chart3!$B$79:$AO$80</f>
            </multiLvlStrRef>
          </cat>
          <val>
            <numRef>
              <f>Chart3!$B$49:$AO$49</f>
              <numCache>
                <formatCode>#,##0_ </formatCode>
                <ptCount val="40"/>
                <pt idx="14">
                  <v>19.75808</v>
                </pt>
                <pt idx="15">
                  <v>17.18488</v>
                </pt>
                <pt idx="16">
                  <v>7.322220000000001</v>
                </pt>
                <pt idx="17">
                  <v>22.09869</v>
                </pt>
                <pt idx="18">
                  <v>2.55</v>
                </pt>
                <pt idx="19">
                  <v>2.55</v>
                </pt>
                <pt idx="20">
                  <v>2.55</v>
                </pt>
                <pt idx="21">
                  <v>2.55</v>
                </pt>
                <pt idx="22">
                  <v>2.55</v>
                </pt>
                <pt idx="23">
                  <v>2.55</v>
                </pt>
                <pt idx="24">
                  <v>2.55</v>
                </pt>
                <pt idx="25">
                  <v>2.55</v>
                </pt>
              </numCache>
            </numRef>
          </val>
        </ser>
        <ser>
          <idx val="8"/>
          <order val="8"/>
          <tx>
            <strRef>
              <f>Chart3!$A$50</f>
              <strCache>
                <ptCount val="1"/>
                <pt idx="0">
                  <v>Other SGA</v>
                </pt>
              </strCache>
            </strRef>
          </tx>
          <spPr>
            <a:solidFill>
              <a:srgbClr val="CCCCFF"/>
            </a:solidFill>
            <a:ln w="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Chart3!$B$79:$AO$80</f>
            </multiLvlStrRef>
          </cat>
          <val>
            <numRef>
              <f>Chart3!$B$50:$AO$50</f>
              <numCache>
                <formatCode>#,##0_ </formatCode>
                <ptCount val="40"/>
                <pt idx="14">
                  <v>108.1427942105263</v>
                </pt>
                <pt idx="15">
                  <v>65.68060526119402</v>
                </pt>
                <pt idx="16">
                  <v>53.05488604477612</v>
                </pt>
                <pt idx="17">
                  <v>55.08490993610224</v>
                </pt>
                <pt idx="18">
                  <v>63.60953904153354</v>
                </pt>
                <pt idx="19">
                  <v>65.39173847094801</v>
                </pt>
                <pt idx="20">
                  <v>63.68469093457944</v>
                </pt>
                <pt idx="21">
                  <v>62.88604742857143</v>
                </pt>
                <pt idx="22">
                  <v>63.00301055737706</v>
                </pt>
                <pt idx="23">
                  <v>61.48497245901639</v>
                </pt>
                <pt idx="24">
                  <v>61.5338793729373</v>
                </pt>
                <pt idx="25">
                  <v>61.53365775577557</v>
                </pt>
              </numCache>
            </numRef>
          </val>
        </ser>
        <ser>
          <idx val="9"/>
          <order val="9"/>
          <tx>
            <strRef>
              <f>Chart3!$A$46</f>
              <strCache>
                <ptCount val="1"/>
                <pt idx="0">
                  <v>CAD</v>
                </pt>
              </strCache>
            </strRef>
          </tx>
          <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Chart3!$B$79:$AO$80</f>
            </multiLvlStrRef>
          </cat>
          <val>
            <numRef>
              <f>Chart3!$B$46:$AO$46</f>
              <numCache>
                <formatCode>#,##0_ </formatCode>
                <ptCount val="40"/>
                <pt idx="14">
                  <v>0</v>
                </pt>
                <pt idx="15">
                  <v>0</v>
                </pt>
                <pt idx="16">
                  <v>0.14492</v>
                </pt>
                <pt idx="17">
                  <v>-0.005599999999999999</v>
                </pt>
                <pt idx="18">
                  <v>0.3</v>
                </pt>
                <pt idx="19">
                  <v>0.3</v>
                </pt>
                <pt idx="20">
                  <v>0.3</v>
                </pt>
                <pt idx="21">
                  <v>0.3</v>
                </pt>
                <pt idx="22">
                  <v>0.3</v>
                </pt>
                <pt idx="23">
                  <v>0.3</v>
                </pt>
                <pt idx="24">
                  <v>0.3</v>
                </pt>
                <pt idx="25">
                  <v>0.3</v>
                </pt>
              </numCache>
            </numRef>
          </val>
        </ser>
        <ser>
          <idx val="10"/>
          <order val="10"/>
          <tx>
            <strRef>
              <f>Chart3!$A$44</f>
              <strCache>
                <ptCount val="1"/>
                <pt idx="0">
                  <v>Depreciation</v>
                </pt>
              </strCache>
            </strRef>
          </tx>
          <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Chart3!$B$79:$AO$80</f>
            </multiLvlStrRef>
          </cat>
          <val>
            <numRef>
              <f>Chart3!$B$44:$AO$44</f>
              <numCache>
                <formatCode>#,##0_ </formatCode>
                <ptCount val="40"/>
                <pt idx="14">
                  <v>0.4580399999999999</v>
                </pt>
                <pt idx="15">
                  <v>0.45805</v>
                </pt>
                <pt idx="16">
                  <v>0.4580400000000001</v>
                </pt>
                <pt idx="17">
                  <v>0.45803</v>
                </pt>
                <pt idx="18">
                  <v>2.7863749</v>
                </pt>
                <pt idx="19">
                  <v>2.7863749</v>
                </pt>
                <pt idx="20">
                  <v>2.7397249</v>
                </pt>
                <pt idx="21">
                  <v>2.7397249</v>
                </pt>
                <pt idx="22">
                  <v>2.7397249</v>
                </pt>
                <pt idx="23">
                  <v>0.7063916</v>
                </pt>
                <pt idx="24">
                  <v>0.7063916</v>
                </pt>
                <pt idx="25">
                  <v>0.7063916</v>
                </pt>
              </numCache>
            </numRef>
          </val>
        </ser>
        <ser>
          <idx val="11"/>
          <order val="11"/>
          <tx>
            <strRef>
              <f>Chart3!$A$53</f>
              <strCache>
                <ptCount val="1"/>
                <pt idx="0">
                  <v>Profit</v>
                </pt>
              </strCache>
            </strRef>
          </tx>
          <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Chart3!$B$79:$AO$80</f>
            </multiLvlStrRef>
          </cat>
          <val>
            <numRef>
              <f>Chart3!$B$53:$AO$53</f>
              <numCache>
                <formatCode>#,##0_ </formatCode>
                <ptCount val="40"/>
                <pt idx="27">
                  <v>-69.32275041243133</v>
                </pt>
                <pt idx="28">
                  <v>-45.57283984213768</v>
                </pt>
                <pt idx="29">
                  <v>80.81302988435414</v>
                </pt>
                <pt idx="30">
                  <v>-24.72982356358989</v>
                </pt>
                <pt idx="31">
                  <v>735.3981439742063</v>
                </pt>
                <pt idx="32">
                  <v>-101.2636421319976</v>
                </pt>
                <pt idx="33">
                  <v>-27.54068736791692</v>
                </pt>
                <pt idx="34">
                  <v>10.68933547800452</v>
                </pt>
                <pt idx="35">
                  <v>-60.77190102679378</v>
                </pt>
                <pt idx="36">
                  <v>62.68546615172397</v>
                </pt>
                <pt idx="37">
                  <v>66.66281501417939</v>
                </pt>
                <pt idx="38">
                  <v>-19.53667278064449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0"/>
        <overlap val="100"/>
        <axId val="85583744"/>
        <axId val="85585280"/>
      </barChart>
      <lineChart>
        <grouping val="standard"/>
        <varyColors val="0"/>
        <ser>
          <idx val="12"/>
          <order val="12"/>
          <tx>
            <strRef>
              <f>Chart3!$A$55</f>
              <strCache>
                <ptCount val="1"/>
                <pt idx="0">
                  <v> Total </v>
                </pt>
              </strCache>
            </strRef>
          </tx>
          <spPr>
            <a:ln w="28575">
              <a:noFill/>
              <a:prstDash val="solid"/>
            </a:ln>
          </spPr>
          <marker>
            <symbol val="dot"/>
            <size val="2"/>
            <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spPr>
          </marker>
          <dLbls>
            <dLbl>
              <idx val="0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4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5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6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7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8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9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0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1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2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4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5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6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7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8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9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2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3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4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5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7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8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9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2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3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4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5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6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7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8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b="1" lang="zh-CN" sz="1100">
                    <a:solidFill>
                      <a:srgbClr val="C00000"/>
                    </a:solidFill>
                  </a:defRPr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Chart3!$B$79:$AE$80</f>
            </multiLvlStrRef>
          </cat>
          <val>
            <numRef>
              <f>Chart3!$B$55:$AO$55</f>
              <numCache>
                <formatCode>_ * #,##0_ ;_ * \-#,##0_ ;_ * "-"??_ ;_ @_ </formatCode>
                <ptCount val="40"/>
                <pt idx="1">
                  <v>1053.243</v>
                </pt>
                <pt idx="2">
                  <v>1062.045</v>
                </pt>
                <pt idx="3">
                  <v>1081.82733</v>
                </pt>
                <pt idx="4">
                  <v>1077.15696</v>
                </pt>
                <pt idx="5">
                  <v>1197.26153</v>
                </pt>
                <pt idx="6">
                  <v>1435.78372</v>
                </pt>
                <pt idx="7">
                  <v>1317.91153</v>
                </pt>
                <pt idx="8">
                  <v>1241.23653</v>
                </pt>
                <pt idx="9">
                  <v>1038.496</v>
                </pt>
                <pt idx="10">
                  <v>1081.909</v>
                </pt>
                <pt idx="11">
                  <v>1110.379</v>
                </pt>
                <pt idx="12">
                  <v>1122.379</v>
                </pt>
                <pt idx="14">
                  <v>1122.565750412431</v>
                </pt>
                <pt idx="15">
                  <v>1107.617839842138</v>
                </pt>
                <pt idx="16">
                  <v>1001.014300115646</v>
                </pt>
                <pt idx="17">
                  <v>1101.88678356359</v>
                </pt>
                <pt idx="18">
                  <v>461.8633860257937</v>
                </pt>
                <pt idx="19">
                  <v>1537.047362131997</v>
                </pt>
                <pt idx="20">
                  <v>1345.452217367917</v>
                </pt>
                <pt idx="21">
                  <v>1230.547194521996</v>
                </pt>
                <pt idx="22">
                  <v>1099.267901026794</v>
                </pt>
                <pt idx="23">
                  <v>1019.223533848276</v>
                </pt>
                <pt idx="24">
                  <v>1043.716184985821</v>
                </pt>
                <pt idx="25">
                  <v>1141.915672780644</v>
                </pt>
                <pt idx="27">
                  <v>-69.32275041243133</v>
                </pt>
                <pt idx="28">
                  <v>-45.57283984213768</v>
                </pt>
                <pt idx="29">
                  <v>80.81302988435414</v>
                </pt>
                <pt idx="30">
                  <v>-24.72982356358989</v>
                </pt>
                <pt idx="31">
                  <v>735.3981439742063</v>
                </pt>
                <pt idx="32">
                  <v>-101.2636421319976</v>
                </pt>
                <pt idx="33">
                  <v>-27.54068736791692</v>
                </pt>
                <pt idx="34">
                  <v>10.68933547800452</v>
                </pt>
                <pt idx="35">
                  <v>-60.77190102679378</v>
                </pt>
                <pt idx="36">
                  <v>62.68546615172397</v>
                </pt>
                <pt idx="37">
                  <v>66.66281501417939</v>
                </pt>
                <pt idx="38">
                  <v>-19.53667278064449</v>
                </pt>
              </numCache>
            </numRef>
          </val>
          <smooth val="0"/>
        </ser>
        <ser>
          <idx val="13"/>
          <order val="13"/>
          <tx>
            <strRef>
              <f>Chart3!$A$54</f>
              <strCache>
                <ptCount val="1"/>
                <pt idx="0">
                  <v> PL% </v>
                </pt>
              </strCache>
            </strRef>
          </tx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dPt>
            <idx val="9"/>
            <bubble3D val="0"/>
            <spPr>
              <a:ln>
                <a:prstDash val="solid"/>
              </a:ln>
            </spPr>
          </dPt>
          <dLbls>
            <dLbl>
              <idx val="9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7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8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9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2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3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4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5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6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7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8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Chart3!$B$79:$AE$80</f>
            </multiLvlStrRef>
          </cat>
          <val>
            <numRef>
              <f>Chart3!$B$54:$AO$54</f>
              <numCache>
                <formatCode>#,##0_ </formatCode>
                <ptCount val="40"/>
                <pt idx="27">
                  <formatCode>0.00%</formatCode>
                  <v>-0.06581838228445984</v>
                </pt>
                <pt idx="28">
                  <formatCode>0.00%</formatCode>
                  <v>-0.04291046033090658</v>
                </pt>
                <pt idx="29">
                  <formatCode>0.00%</formatCode>
                  <v>0.07470048837123955</v>
                </pt>
                <pt idx="30">
                  <formatCode>0.00%</formatCode>
                  <v>-0.02295842155036522</v>
                </pt>
                <pt idx="31">
                  <formatCode>0.00%</formatCode>
                  <v>0.6142335033300588</v>
                </pt>
                <pt idx="32">
                  <formatCode>0.00%</formatCode>
                  <v>-0.07052847913054593</v>
                </pt>
                <pt idx="33">
                  <formatCode>0.00%</formatCode>
                  <v>-0.02089722014035109</v>
                </pt>
                <pt idx="34">
                  <formatCode>0.00%</formatCode>
                  <v>0.008611844092281527</v>
                </pt>
                <pt idx="35">
                  <formatCode>0.00%</formatCode>
                  <v>-0.05851914790889303</v>
                </pt>
                <pt idx="36">
                  <formatCode>0.00%</formatCode>
                  <v>0.05793968453143838</v>
                </pt>
                <pt idx="37">
                  <formatCode>0.00%</formatCode>
                  <v>0.06003609129331462</v>
                </pt>
                <pt idx="38">
                  <formatCode>0.00%</formatCode>
                  <v>-0.01740648460158689</v>
                </pt>
              </numCache>
            </numRef>
          </val>
          <smooth val="0"/>
        </ser>
        <dLbls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85583744"/>
        <axId val="85585280"/>
      </lineChart>
      <catAx>
        <axId val="8558374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zh-CN"/>
            </a:pPr>
            <a:r>
              <a:t/>
            </a:r>
            <a:endParaRPr lang="zh-CN"/>
          </a:p>
        </txPr>
        <crossAx val="85585280"/>
        <crosses val="autoZero"/>
        <auto val="1"/>
        <lblAlgn val="ctr"/>
        <lblOffset val="100"/>
        <tickLblSkip val="1"/>
        <tickMarkSkip val="1"/>
        <noMultiLvlLbl val="0"/>
      </catAx>
      <valAx>
        <axId val="85585280"/>
        <scaling>
          <orientation val="minMax"/>
        </scaling>
        <delete val="0"/>
        <axPos val="l"/>
        <majorGridlines>
          <spPr>
            <a:ln w="3175">
              <a:solidFill>
                <a:srgbClr val="C0C0C0"/>
              </a:solidFill>
              <a:prstDash val="sysDash"/>
            </a:ln>
          </spPr>
        </majorGridlines>
        <numFmt formatCode="#,##0_ " sourceLinked="1"/>
        <majorTickMark val="in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zh-CN"/>
            </a:pPr>
            <a:r>
              <a:t/>
            </a:r>
            <a:endParaRPr lang="zh-CN"/>
          </a:p>
        </txPr>
        <crossAx val="85583744"/>
        <crosses val="autoZero"/>
        <crossBetween val="between"/>
      </valAx>
    </plotArea>
    <legend>
      <legendPos val="b"/>
      <legendEntry>
        <idx val="0"/>
        <delete val="1"/>
      </legendEntry>
      <legendEntry>
        <idx val="11"/>
        <delete val="1"/>
      </legendEntry>
      <legendEntry>
        <idx val="12"/>
        <delete val="1"/>
      </legendEntry>
      <legendEntry>
        <idx val="13"/>
        <delete val="1"/>
      </legendEntry>
      <layout>
        <manualLayout>
          <xMode val="edge"/>
          <yMode val="edge"/>
          <x val="0.1344879992268435"/>
          <y val="0.8872496874273604"/>
          <w val="0.7562341602593876"/>
          <h val="0.09331636611878281"/>
        </manualLayout>
      </layout>
      <overlay val="0"/>
      <spPr>
        <a:ln>
          <a:solidFill>
            <a:srgbClr val="4F81BD"/>
          </a:solidFill>
          <a:prstDash val="solid"/>
        </a:ln>
      </spPr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altLang="zh-CN" b="1" baseline="0" i="0" lang="en-US" sz="1400">
                <effectLst/>
              </a:rPr>
              <a:t>SET PL for 2017</a:t>
            </a:r>
            <a:endParaRPr altLang="zh-CN" lang="zh-CN" sz="1400">
              <effectLst/>
            </a:endParaRPr>
          </a:p>
        </rich>
      </tx>
      <overlay val="0"/>
    </title>
    <plotArea>
      <layout>
        <manualLayout>
          <layoutTarget val="inner"/>
          <xMode val="edge"/>
          <yMode val="edge"/>
          <x val="0.0390048887130038"/>
          <y val="0.09039820510432084"/>
          <w val="0.943680291065124"/>
          <h val="0.7612199954690614"/>
        </manualLayout>
      </layout>
      <barChart>
        <barDir val="col"/>
        <grouping val="stacked"/>
        <varyColors val="0"/>
        <ser>
          <idx val="0"/>
          <order val="0"/>
          <tx>
            <strRef>
              <f>Chart3!$A$14</f>
              <strCache>
                <ptCount val="1"/>
                <pt idx="0">
                  <v>Revenue</v>
                </pt>
              </strCache>
            </strRef>
          </tx>
          <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delete val="1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Chart3!$B$2:$AO$3</f>
            </multiLvlStrRef>
          </cat>
          <val>
            <numRef>
              <f>Chart3!$B$14:$AO$14</f>
              <numCache>
                <formatCode>#,##0_ </formatCode>
                <ptCount val="40"/>
                <pt idx="1">
                  <v>2360.12973</v>
                </pt>
                <pt idx="2">
                  <v>2496.61468</v>
                </pt>
                <pt idx="3">
                  <v>3093.8933</v>
                </pt>
                <pt idx="4">
                  <v>2875.12874</v>
                </pt>
                <pt idx="5">
                  <v>2920.390625833333</v>
                </pt>
                <pt idx="6">
                  <v>3198.541545</v>
                </pt>
                <pt idx="7">
                  <v>3402.158105</v>
                </pt>
                <pt idx="8">
                  <v>3325.483105</v>
                </pt>
                <pt idx="9">
                  <v>3138.282575</v>
                </pt>
                <pt idx="10">
                  <v>3262.32245</v>
                </pt>
                <pt idx="11">
                  <v>3144.73245</v>
                </pt>
                <pt idx="12">
                  <v>3156.73245</v>
                </pt>
              </numCache>
            </numRef>
          </val>
        </ser>
        <ser>
          <idx val="1"/>
          <order val="1"/>
          <tx>
            <strRef>
              <f>Chart3!$A$4</f>
              <strCache>
                <ptCount val="1"/>
                <pt idx="0">
                  <v>Personnel</v>
                </pt>
              </strCache>
            </strRef>
          </tx>
          <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Chart3!$B$2:$AO$3</f>
            </multiLvlStrRef>
          </cat>
          <val>
            <numRef>
              <f>Chart3!$B$4:$AO$4</f>
              <numCache>
                <formatCode>#,##0_ </formatCode>
                <ptCount val="40"/>
                <pt idx="14">
                  <v>672.542045625</v>
                </pt>
                <pt idx="15">
                  <v>758.7665656250001</v>
                </pt>
                <pt idx="16">
                  <v>494.152040625</v>
                </pt>
                <pt idx="17">
                  <v>705.336765625</v>
                </pt>
                <pt idx="18">
                  <v>709.4155206</v>
                </pt>
                <pt idx="19">
                  <v>730.3361016499999</v>
                </pt>
                <pt idx="20">
                  <v>812.8792060999999</v>
                </pt>
                <pt idx="21">
                  <v>855.6093496999999</v>
                </pt>
                <pt idx="22">
                  <v>812.8262175499999</v>
                </pt>
                <pt idx="23">
                  <v>789.8042056</v>
                </pt>
                <pt idx="24">
                  <v>789.8042056</v>
                </pt>
                <pt idx="25">
                  <v>845.5691400000001</v>
                </pt>
              </numCache>
            </numRef>
          </val>
        </ser>
        <ser>
          <idx val="2"/>
          <order val="2"/>
          <tx>
            <strRef>
              <f>Chart3!$A$5</f>
              <strCache>
                <ptCount val="1"/>
                <pt idx="0">
                  <v>OS</v>
                </pt>
              </strCache>
            </strRef>
          </tx>
          <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Chart3!$B$2:$AO$3</f>
            </multiLvlStrRef>
          </cat>
          <val>
            <numRef>
              <f>Chart3!$B$5:$AO$5</f>
              <numCache>
                <formatCode>#,##0_ </formatCode>
                <ptCount val="40"/>
                <pt idx="14">
                  <v>1164.9857</v>
                </pt>
                <pt idx="15">
                  <v>1051.70418</v>
                </pt>
                <pt idx="16">
                  <v>1131.73776</v>
                </pt>
                <pt idx="17">
                  <v>1210.1682</v>
                </pt>
                <pt idx="18">
                  <v>0</v>
                </pt>
                <pt idx="19">
                  <v>1603</v>
                </pt>
                <pt idx="20">
                  <v>1704</v>
                </pt>
                <pt idx="21">
                  <v>1608</v>
                </pt>
                <pt idx="22">
                  <v>1425.5</v>
                </pt>
                <pt idx="23">
                  <v>1470</v>
                </pt>
                <pt idx="24">
                  <v>1414</v>
                </pt>
                <pt idx="25">
                  <v>1403.5</v>
                </pt>
              </numCache>
            </numRef>
          </val>
        </ser>
        <ser>
          <idx val="3"/>
          <order val="3"/>
          <tx>
            <strRef>
              <f>Chart3!$A$10</f>
              <strCache>
                <ptCount val="1"/>
                <pt idx="0">
                  <v>Schina Allocation</v>
                </pt>
              </strCache>
            </strRef>
          </tx>
          <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Chart3!$B$2:$AO$3</f>
            </multiLvlStrRef>
          </cat>
          <val>
            <numRef>
              <f>Chart3!$B$10:$AO$10</f>
              <numCache>
                <formatCode>#,##0_ </formatCode>
                <ptCount val="40"/>
                <pt idx="14">
                  <v>95.02318071428574</v>
                </pt>
                <pt idx="15">
                  <v>83.06509094972068</v>
                </pt>
                <pt idx="16">
                  <v>372.6442114285715</v>
                </pt>
                <pt idx="17">
                  <v>106.4471191666667</v>
                </pt>
                <pt idx="18">
                  <v>97.90628429505496</v>
                </pt>
                <pt idx="19">
                  <v>414.8658420070652</v>
                </pt>
                <pt idx="20">
                  <v>109.8788570015957</v>
                </pt>
                <pt idx="21">
                  <v>116.697840181579</v>
                </pt>
                <pt idx="22">
                  <v>426.1084953631579</v>
                </pt>
                <pt idx="23">
                  <v>116.131159786632</v>
                </pt>
                <pt idx="24">
                  <v>96.37169746024306</v>
                </pt>
                <pt idx="25">
                  <v>423.3316918302083</v>
                </pt>
              </numCache>
            </numRef>
          </val>
        </ser>
        <ser>
          <idx val="4"/>
          <order val="4"/>
          <tx>
            <strRef>
              <f>Chart3!$A$9</f>
              <strCache>
                <ptCount val="1"/>
                <pt idx="0">
                  <v>IS (Infra+Service)</v>
                </pt>
              </strCache>
            </strRef>
          </tx>
          <spPr>
            <a:solidFill>
              <a:srgbClr val="4BACC6"/>
            </a:solidFill>
            <a:ln w="9525">
              <a:solidFill>
                <a:sysClr lastClr="000000" val="windowText"/>
              </a:solidFill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Chart3!$B$2:$AO$3</f>
            </multiLvlStrRef>
          </cat>
          <val>
            <numRef>
              <f>Chart3!$B$9:$AO$9</f>
              <numCache>
                <formatCode>#,##0_ </formatCode>
                <ptCount val="40"/>
                <pt idx="14">
                  <v>103.8526005</v>
                </pt>
                <pt idx="15">
                  <v>110.9959934615385</v>
                </pt>
                <pt idx="16">
                  <v>109.48976625</v>
                </pt>
                <pt idx="17">
                  <v>112.2037625</v>
                </pt>
                <pt idx="18">
                  <v>117.74858475</v>
                </pt>
                <pt idx="19">
                  <v>118.828552415</v>
                </pt>
                <pt idx="20">
                  <v>116.977179275</v>
                </pt>
                <pt idx="21">
                  <v>116.977179275</v>
                </pt>
                <pt idx="22">
                  <v>116.977179275</v>
                </pt>
                <pt idx="23">
                  <v>115.434368325</v>
                </pt>
                <pt idx="24">
                  <v>118.828552415</v>
                </pt>
                <pt idx="25">
                  <v>118.828552415</v>
                </pt>
              </numCache>
            </numRef>
          </val>
        </ser>
        <ser>
          <idx val="5"/>
          <order val="5"/>
          <tx>
            <strRef>
              <f>Chart3!$A$7</f>
              <strCache>
                <ptCount val="1"/>
                <pt idx="0">
                  <v>Rental</v>
                </pt>
              </strCache>
            </strRef>
          </tx>
          <spPr>
            <a:solidFill>
              <a:srgbClr val="CCECFF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Chart3!$B$2:$AO$3</f>
            </multiLvlStrRef>
          </cat>
          <val>
            <numRef>
              <f>Chart3!$B$7:$AO$7</f>
              <numCache>
                <formatCode>#,##0_ </formatCode>
                <ptCount val="40"/>
                <pt idx="14">
                  <v>68.63224089315679</v>
                </pt>
                <pt idx="15">
                  <v>71.29290307490446</v>
                </pt>
                <pt idx="16">
                  <v>82.53805169705122</v>
                </pt>
                <pt idx="17">
                  <v>91.21411088095343</v>
                </pt>
                <pt idx="18">
                  <v>96.58613411702189</v>
                </pt>
                <pt idx="19">
                  <v>101.100818444049</v>
                </pt>
                <pt idx="20">
                  <v>104.121557210656</v>
                </pt>
                <pt idx="21">
                  <v>102.1115815165681</v>
                </pt>
                <pt idx="22">
                  <v>98.58588644661077</v>
                </pt>
                <pt idx="23">
                  <v>92.29130468957001</v>
                </pt>
                <pt idx="24">
                  <v>91.16286457527696</v>
                </pt>
                <pt idx="25">
                  <v>91.16286457527696</v>
                </pt>
              </numCache>
            </numRef>
          </val>
        </ser>
        <ser>
          <idx val="6"/>
          <order val="6"/>
          <tx>
            <strRef>
              <f>Chart3!$A$12</f>
              <strCache>
                <ptCount val="1"/>
                <pt idx="0">
                  <v>Other SGA</v>
                </pt>
              </strCache>
            </strRef>
          </tx>
          <spPr>
            <a:solidFill>
              <a:srgbClr val="00B050"/>
            </a:solidFill>
            <a:ln w="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Chart3!$B$2:$AO$3</f>
            </multiLvlStrRef>
          </cat>
          <val>
            <numRef>
              <f>Chart3!$B$12:$AO$12</f>
              <numCache>
                <formatCode>#,##0_ </formatCode>
                <ptCount val="40"/>
                <pt idx="14">
                  <v>160.4048120827068</v>
                </pt>
                <pt idx="15">
                  <v>78.75555526119402</v>
                </pt>
                <pt idx="16">
                  <v>146.9955784179105</v>
                </pt>
                <pt idx="17">
                  <v>98.88990885942492</v>
                </pt>
                <pt idx="18">
                  <v>85.64662162539936</v>
                </pt>
                <pt idx="19">
                  <v>87.38294895514781</v>
                </pt>
                <pt idx="20">
                  <v>91.66522079439254</v>
                </pt>
                <pt idx="21">
                  <v>91.16567720634922</v>
                </pt>
                <pt idx="22">
                  <v>96.51223634426231</v>
                </pt>
                <pt idx="23">
                  <v>86.19105844262295</v>
                </pt>
                <pt idx="24">
                  <v>86.33150213421344</v>
                </pt>
                <pt idx="25">
                  <v>86.33061035753575</v>
                </pt>
              </numCache>
            </numRef>
          </val>
        </ser>
        <ser>
          <idx val="7"/>
          <order val="7"/>
          <tx>
            <strRef>
              <f>Chart3!$A$11</f>
              <strCache>
                <ptCount val="1"/>
                <pt idx="0">
                  <v>Travelling </v>
                </pt>
              </strCache>
            </strRef>
          </tx>
          <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Chart3!$B$2:$AO$3</f>
            </multiLvlStrRef>
          </cat>
          <val>
            <numRef>
              <f>Chart3!$B$11:$AO$11</f>
              <numCache>
                <formatCode>#,##0_ </formatCode>
                <ptCount val="40"/>
                <pt idx="14">
                  <v>72.48960000000001</v>
                </pt>
                <pt idx="15">
                  <v>64.376766</v>
                </pt>
                <pt idx="16">
                  <v>25.500454</v>
                </pt>
                <pt idx="17">
                  <v>72.76328299999999</v>
                </pt>
                <pt idx="18">
                  <v>19.0625</v>
                </pt>
                <pt idx="19">
                  <v>19.23333333333333</v>
                </pt>
                <pt idx="20">
                  <v>20.6</v>
                </pt>
                <pt idx="21">
                  <v>20.6</v>
                </pt>
                <pt idx="22">
                  <v>20.6</v>
                </pt>
                <pt idx="23">
                  <v>19.23333333333333</v>
                </pt>
                <pt idx="24">
                  <v>19.23333333333333</v>
                </pt>
                <pt idx="25">
                  <v>19.23333333333333</v>
                </pt>
              </numCache>
            </numRef>
          </val>
        </ser>
        <ser>
          <idx val="8"/>
          <order val="8"/>
          <tx>
            <strRef>
              <f>Chart3!$A$8</f>
              <strCache>
                <ptCount val="1"/>
                <pt idx="0">
                  <v>CAD</v>
                </pt>
              </strCache>
            </strRef>
          </tx>
          <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Chart3!$B$2:$AO$3</f>
            </multiLvlStrRef>
          </cat>
          <val>
            <numRef>
              <f>Chart3!$B$8:$AO$8</f>
              <numCache>
                <formatCode>#,##0_ </formatCode>
                <ptCount val="40"/>
                <pt idx="14">
                  <v>18.64520581950158</v>
                </pt>
                <pt idx="15">
                  <v>24.83086409602928</v>
                </pt>
                <pt idx="16">
                  <v>24.18350365265258</v>
                </pt>
                <pt idx="17">
                  <v>20.00737523328641</v>
                </pt>
                <pt idx="18">
                  <v>8.150303373541101</v>
                </pt>
                <pt idx="19">
                  <v>11.13587335552366</v>
                </pt>
                <pt idx="20">
                  <v>41.83887794497279</v>
                </pt>
                <pt idx="21">
                  <v>40.74123750446886</v>
                </pt>
                <pt idx="22">
                  <v>40.26141413997478</v>
                </pt>
                <pt idx="23">
                  <v>30.70462009101783</v>
                </pt>
                <pt idx="24">
                  <v>32.15229608636388</v>
                </pt>
                <pt idx="25">
                  <v>31.53410322922102</v>
                </pt>
              </numCache>
            </numRef>
          </val>
        </ser>
        <ser>
          <idx val="9"/>
          <order val="9"/>
          <tx>
            <strRef>
              <f>Chart3!$A$6</f>
              <strCache>
                <ptCount val="1"/>
                <pt idx="0">
                  <v>Depreciation</v>
                </pt>
              </strCache>
            </strRef>
          </tx>
          <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Chart3!$B$2:$AO$3</f>
            </multiLvlStrRef>
          </cat>
          <val>
            <numRef>
              <f>Chart3!$B$6:$AO$6</f>
              <numCache>
                <formatCode>#,##0_ </formatCode>
                <ptCount val="40"/>
                <pt idx="14">
                  <v>5.499863999999999</v>
                </pt>
                <pt idx="15">
                  <v>5.499716</v>
                </pt>
                <pt idx="16">
                  <v>5.499842</v>
                </pt>
                <pt idx="17">
                  <v>7.032843</v>
                </pt>
                <pt idx="18">
                  <v>8.8844043</v>
                </pt>
                <pt idx="19">
                  <v>9.082642566666667</v>
                </pt>
                <pt idx="20">
                  <v>10.6218987</v>
                </pt>
                <pt idx="21">
                  <v>10.6218987</v>
                </pt>
                <pt idx="22">
                  <v>10.6218987</v>
                </pt>
                <pt idx="23">
                  <v>7.425159266666666</v>
                </pt>
                <pt idx="24">
                  <v>7.320159266666666</v>
                </pt>
                <pt idx="25">
                  <v>7.320159266666666</v>
                </pt>
              </numCache>
            </numRef>
          </val>
        </ser>
        <ser>
          <idx val="10"/>
          <order val="11"/>
          <tx>
            <strRef>
              <f>Chart3!$A$15</f>
              <strCache>
                <ptCount val="1"/>
                <pt idx="0">
                  <v>Profit</v>
                </pt>
              </strCache>
            </strRef>
          </tx>
          <spPr>
            <a:ln w="12700">
              <a:solidFill>
                <a:sysClr lastClr="000000" val="windowText"/>
              </a:solidFill>
              <a:prstDash val="solid"/>
            </a:ln>
          </spPr>
          <invertIfNegative val="0"/>
          <dLbls>
            <delete val="1"/>
          </dLbls>
          <cat>
            <strRef>
              <f>Chart3!$B$3:$AO$3</f>
              <strCache>
                <ptCount val="39"/>
                <pt idx="1">
                  <v>Apr</v>
                </pt>
                <pt idx="2">
                  <v>May</v>
                </pt>
                <pt idx="3">
                  <v>Jun</v>
                </pt>
                <pt idx="4">
                  <v>Jul</v>
                </pt>
                <pt idx="5">
                  <v>Aug</v>
                </pt>
                <pt idx="6">
                  <v>Sep</v>
                </pt>
                <pt idx="7">
                  <v>Oct</v>
                </pt>
                <pt idx="8">
                  <v>Nov</v>
                </pt>
                <pt idx="9">
                  <v>Dec</v>
                </pt>
                <pt idx="10">
                  <v>Jan</v>
                </pt>
                <pt idx="11">
                  <v>Feb</v>
                </pt>
                <pt idx="12">
                  <v>Mar</v>
                </pt>
                <pt idx="14">
                  <v>Apr</v>
                </pt>
                <pt idx="15">
                  <v>May</v>
                </pt>
                <pt idx="16">
                  <v>Jun</v>
                </pt>
                <pt idx="17">
                  <v>Jul</v>
                </pt>
                <pt idx="18">
                  <v>Aug</v>
                </pt>
                <pt idx="19">
                  <v>Sep</v>
                </pt>
                <pt idx="20">
                  <v>Oct</v>
                </pt>
                <pt idx="21">
                  <v>Nov</v>
                </pt>
                <pt idx="22">
                  <v>Dec</v>
                </pt>
                <pt idx="23">
                  <v>Jan</v>
                </pt>
                <pt idx="24">
                  <v>Feb</v>
                </pt>
                <pt idx="25">
                  <v>Mar</v>
                </pt>
                <pt idx="27">
                  <v>Apr</v>
                </pt>
                <pt idx="28">
                  <v>May</v>
                </pt>
                <pt idx="29">
                  <v>Jun</v>
                </pt>
                <pt idx="30">
                  <v>Jul</v>
                </pt>
                <pt idx="31">
                  <v>Aug</v>
                </pt>
                <pt idx="32">
                  <v>Sep</v>
                </pt>
                <pt idx="33">
                  <v>Oct</v>
                </pt>
                <pt idx="34">
                  <v>Nov</v>
                </pt>
                <pt idx="35">
                  <v>Dec</v>
                </pt>
                <pt idx="36">
                  <v>Jan</v>
                </pt>
                <pt idx="37">
                  <v>Feb</v>
                </pt>
                <pt idx="38">
                  <v>Mar</v>
                </pt>
              </strCache>
            </strRef>
          </cat>
          <val>
            <numRef>
              <f>Chart3!$B$15:$AO$15</f>
              <numCache>
                <formatCode>#,##0_ </formatCode>
                <ptCount val="40"/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0"/>
        <overlap val="100"/>
        <axId val="108421888"/>
        <axId val="108423424"/>
      </barChart>
      <lineChart>
        <grouping val="standard"/>
        <varyColors val="0"/>
        <ser>
          <idx val="11"/>
          <order val="10"/>
          <tx>
            <strRef>
              <f>Chart3!$A$17</f>
              <strCache>
                <ptCount val="1"/>
                <pt idx="0">
                  <v> Total </v>
                </pt>
              </strCache>
            </strRef>
          </tx>
          <spPr>
            <a:ln>
              <a:noFill/>
              <a:prstDash val="solid"/>
            </a:ln>
          </spPr>
          <marker>
            <symbol val="dot"/>
            <size val="2"/>
            <spPr>
              <a:ln>
                <a:prstDash val="solid"/>
              </a:ln>
            </spPr>
          </marker>
          <dLbls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4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5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6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7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8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9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2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4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5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6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7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8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9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2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3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4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5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7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8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9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2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3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4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5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6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7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8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b="1" lang="zh-CN" sz="1100">
                    <a:solidFill>
                      <a:srgbClr val="C00000"/>
                    </a:solidFill>
                  </a:defRPr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Chart3!$B$2:$AO$3</f>
            </multiLvlStrRef>
          </cat>
          <val>
            <numRef>
              <f>Chart3!$B$17:$AO$17</f>
              <numCache>
                <formatCode>_ * #,##0_ ;_ * \-#,##0_ ;_ * "-"??_ ;_ @_ </formatCode>
                <ptCount val="40"/>
                <pt idx="1">
                  <v>2360.12973</v>
                </pt>
                <pt idx="2">
                  <v>2496.61468</v>
                </pt>
                <pt idx="3">
                  <v>3093.8933</v>
                </pt>
                <pt idx="4">
                  <v>2875.12874</v>
                </pt>
                <pt idx="5">
                  <v>2920.390625833333</v>
                </pt>
                <pt idx="6">
                  <v>3198.541545</v>
                </pt>
                <pt idx="7">
                  <v>3402.158105</v>
                </pt>
                <pt idx="8">
                  <v>3325.483105</v>
                </pt>
                <pt idx="9">
                  <v>3138.282575</v>
                </pt>
                <pt idx="10">
                  <v>3262.32245</v>
                </pt>
                <pt idx="11">
                  <v>3144.73245</v>
                </pt>
                <pt idx="12">
                  <v>3156.73245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</numCache>
            </numRef>
          </val>
          <smooth val="0"/>
        </ser>
        <ser>
          <idx val="12"/>
          <order val="12"/>
          <tx>
            <strRef>
              <f>Chart3!$A$16</f>
              <strCache>
                <ptCount val="1"/>
                <pt idx="0">
                  <v> PL% </v>
                </pt>
              </strCache>
            </strRef>
          </tx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dLbls>
            <dLbl>
              <idx val="9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7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8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9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2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3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4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5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6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7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8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Chart3!$B$2:$AO$3</f>
            </multiLvlStrRef>
          </cat>
          <val>
            <numRef>
              <f>Chart3!$B$16:$AO$16</f>
              <numCache>
                <formatCode>#,##0_ </formatCode>
                <ptCount val="40"/>
                <pt idx="27">
                  <formatCode>0.00%</formatCode>
                  <v>0</v>
                </pt>
                <pt idx="28">
                  <formatCode>0.00%</formatCode>
                  <v>0</v>
                </pt>
                <pt idx="29">
                  <formatCode>0.00%</formatCode>
                  <v>0</v>
                </pt>
                <pt idx="30">
                  <formatCode>0.00%</formatCode>
                  <v>0</v>
                </pt>
                <pt idx="31">
                  <formatCode>0.00%</formatCode>
                  <v>0</v>
                </pt>
                <pt idx="32">
                  <formatCode>0.00%</formatCode>
                  <v>0</v>
                </pt>
                <pt idx="33">
                  <formatCode>0.00%</formatCode>
                  <v>0</v>
                </pt>
                <pt idx="34">
                  <formatCode>0.00%</formatCode>
                  <v>0</v>
                </pt>
                <pt idx="35">
                  <formatCode>0.00%</formatCode>
                  <v>0</v>
                </pt>
                <pt idx="36">
                  <formatCode>0.00%</formatCode>
                  <v>0</v>
                </pt>
                <pt idx="37">
                  <formatCode>0.00%</formatCode>
                  <v>0</v>
                </pt>
                <pt idx="38">
                  <formatCode>0.00%</formatCode>
                  <v>0</v>
                </pt>
              </numCache>
            </numRef>
          </val>
          <smooth val="0"/>
        </ser>
        <dLbls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08421888"/>
        <axId val="108423424"/>
      </lineChart>
      <catAx>
        <axId val="10842188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zh-CN"/>
            </a:pPr>
            <a:r>
              <a:t/>
            </a:r>
            <a:endParaRPr lang="zh-CN"/>
          </a:p>
        </txPr>
        <crossAx val="108423424"/>
        <crosses val="autoZero"/>
        <auto val="1"/>
        <lblAlgn val="ctr"/>
        <lblOffset val="100"/>
        <tickMarkSkip val="1"/>
        <noMultiLvlLbl val="0"/>
      </catAx>
      <valAx>
        <axId val="108423424"/>
        <scaling>
          <orientation val="minMax"/>
        </scaling>
        <delete val="0"/>
        <axPos val="l"/>
        <majorGridlines>
          <spPr>
            <a:ln w="3175">
              <a:solidFill>
                <a:srgbClr val="C0C0C0"/>
              </a:solidFill>
              <a:prstDash val="sysDash"/>
            </a:ln>
          </spPr>
        </majorGridlines>
        <numFmt formatCode="#,##0_ 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zh-CN"/>
            </a:pPr>
            <a:r>
              <a:t/>
            </a:r>
            <a:endParaRPr lang="zh-CN"/>
          </a:p>
        </txPr>
        <crossAx val="108421888"/>
        <crosses val="autoZero"/>
        <crossBetween val="between"/>
      </valAx>
    </plotArea>
    <legend>
      <legendPos val="b"/>
      <legendEntry>
        <idx val="0"/>
        <delete val="1"/>
      </legendEntry>
      <legendEntry>
        <idx val="11"/>
        <delete val="1"/>
      </legendEntry>
      <legendEntry>
        <idx val="12"/>
        <delete val="1"/>
      </legendEntry>
      <layout>
        <manualLayout>
          <xMode val="edge"/>
          <yMode val="edge"/>
          <x val="0.1652805467350134"/>
          <y val="0.9031058513432023"/>
          <w val="0.7344090382654692"/>
          <h val="0.09011797119829151"/>
        </manualLayout>
      </layout>
      <overlay val="0"/>
      <spPr>
        <a:noFill/>
        <a:ln>
          <a:solidFill>
            <a:srgbClr val="1F497D"/>
          </a:solidFill>
          <a:prstDash val="solid"/>
        </a:ln>
      </spPr>
      <txPr>
        <a:bodyPr/>
        <a:lstStyle/>
        <a:p>
          <a:pPr>
            <a:defRPr lang="zh-CN"/>
          </a:pPr>
          <a:r>
            <a:t/>
          </a:r>
          <a:endParaRPr lang="zh-CN"/>
        </a:p>
      </txPr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altLang="zh-CN" b="1" baseline="0" i="0" lang="en-US" sz="1400">
                <effectLst/>
              </a:rPr>
              <a:t>12273 PL for 2017</a:t>
            </a:r>
            <a:endParaRPr altLang="zh-CN" lang="zh-CN" sz="1400">
              <effectLst/>
            </a:endParaRPr>
          </a:p>
        </rich>
      </tx>
      <overlay val="0"/>
    </title>
    <plotArea>
      <layout>
        <manualLayout>
          <layoutTarget val="inner"/>
          <xMode val="edge"/>
          <yMode val="edge"/>
          <x val="0.03938880700609457"/>
          <y val="0.07855081127788532"/>
          <w val="0.9291783346821948"/>
          <h val="0.7892199928815522"/>
        </manualLayout>
      </layout>
      <barChart>
        <barDir val="col"/>
        <grouping val="stacked"/>
        <varyColors val="0"/>
        <ser>
          <idx val="0"/>
          <order val="0"/>
          <tx>
            <strRef>
              <f>Chart3!$A$91</f>
              <strCache>
                <ptCount val="1"/>
                <pt idx="0">
                  <v>Revenue</v>
                </pt>
              </strCache>
            </strRef>
          </tx>
          <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Chart3!$B$79:$AO$80</f>
            </multiLvlStrRef>
          </cat>
          <val>
            <numRef>
              <f>Chart3!$B$91:$AO$91</f>
              <numCache>
                <formatCode>#,##0_ </formatCode>
                <ptCount val="40"/>
                <pt idx="1">
                  <v>118.15821</v>
                </pt>
                <pt idx="2">
                  <v>175.66944</v>
                </pt>
                <pt idx="3">
                  <v>455.16087</v>
                </pt>
                <pt idx="4">
                  <v>327.77941</v>
                </pt>
                <pt idx="5">
                  <v>304.8701666666666</v>
                </pt>
                <pt idx="6">
                  <v>315.205</v>
                </pt>
                <pt idx="7">
                  <v>461.265</v>
                </pt>
                <pt idx="8">
                  <v>461.265</v>
                </pt>
                <pt idx="9">
                  <v>461.265</v>
                </pt>
                <pt idx="10">
                  <v>461.265</v>
                </pt>
                <pt idx="11">
                  <v>315.205</v>
                </pt>
                <pt idx="12">
                  <v>315.205</v>
                </pt>
              </numCache>
            </numRef>
          </val>
        </ser>
        <ser>
          <idx val="1"/>
          <order val="1"/>
          <tx>
            <strRef>
              <f>Chart3!$A$81</f>
              <strCache>
                <ptCount val="1"/>
                <pt idx="0">
                  <v>Personnel</v>
                </pt>
              </strCache>
            </strRef>
          </tx>
          <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Chart3!$B$79:$AO$80</f>
            </multiLvlStrRef>
          </cat>
          <val>
            <numRef>
              <f>Chart3!$B$81:$AO$81</f>
              <numCache>
                <formatCode>#,##0_ </formatCode>
                <ptCount val="40"/>
                <pt idx="14">
                  <v>137.94148225</v>
                </pt>
                <pt idx="15">
                  <v>138.58704225</v>
                </pt>
                <pt idx="16">
                  <v>85.49047225</v>
                </pt>
                <pt idx="17">
                  <v>143.17634225</v>
                </pt>
                <pt idx="18">
                  <v>126.6177793</v>
                </pt>
                <pt idx="19">
                  <v>110.1669426</v>
                </pt>
                <pt idx="20">
                  <v>199.6271941</v>
                </pt>
                <pt idx="21">
                  <v>199.6271941</v>
                </pt>
                <pt idx="22">
                  <v>207.7287503</v>
                </pt>
                <pt idx="23">
                  <v>111.1177793</v>
                </pt>
                <pt idx="24">
                  <v>111.1177793</v>
                </pt>
                <pt idx="25">
                  <v>120.4979241</v>
                </pt>
              </numCache>
            </numRef>
          </val>
        </ser>
        <ser>
          <idx val="2"/>
          <order val="2"/>
          <tx>
            <strRef>
              <f>Chart3!$A$82</f>
              <strCache>
                <ptCount val="1"/>
                <pt idx="0">
                  <v>OS</v>
                </pt>
              </strCache>
            </strRef>
          </tx>
          <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Chart3!$B$79:$AO$80</f>
            </multiLvlStrRef>
          </cat>
          <val>
            <numRef>
              <f>Chart3!$B$82:$AO$82</f>
              <numCache>
                <formatCode>#,##0_ </formatCode>
                <ptCount val="40"/>
                <pt idx="14">
                  <v>48.842</v>
                </pt>
                <pt idx="15">
                  <v>48.656</v>
                </pt>
                <pt idx="16">
                  <v>101.395</v>
                </pt>
                <pt idx="17">
                  <v>91.818</v>
                </pt>
                <pt idx="18">
                  <v>0</v>
                </pt>
                <pt idx="19">
                  <v>78</v>
                </pt>
                <pt idx="20">
                  <v>158</v>
                </pt>
                <pt idx="21">
                  <v>158</v>
                </pt>
                <pt idx="22">
                  <v>158</v>
                </pt>
                <pt idx="23">
                  <v>158</v>
                </pt>
                <pt idx="24">
                  <v>78</v>
                </pt>
                <pt idx="25">
                  <v>78</v>
                </pt>
              </numCache>
            </numRef>
          </val>
        </ser>
        <ser>
          <idx val="3"/>
          <order val="3"/>
          <tx>
            <strRef>
              <f>Chart3!$A$84</f>
              <strCache>
                <ptCount val="1"/>
                <pt idx="0">
                  <v>Rental</v>
                </pt>
              </strCache>
            </strRef>
          </tx>
          <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Chart3!$B$79:$AO$80</f>
            </multiLvlStrRef>
          </cat>
          <val>
            <numRef>
              <f>Chart3!$B$84:$AO$84</f>
              <numCache>
                <formatCode>#,##0_ </formatCode>
                <ptCount val="40"/>
                <pt idx="14">
                  <v>7.655392380952383</v>
                </pt>
                <pt idx="15">
                  <v>9.982880975124377</v>
                </pt>
                <pt idx="16">
                  <v>12.83458531343284</v>
                </pt>
                <pt idx="17">
                  <v>14.92168901843204</v>
                </pt>
                <pt idx="18">
                  <v>21.40011980830671</v>
                </pt>
                <pt idx="19">
                  <v>19.67560312606184</v>
                </pt>
                <pt idx="20">
                  <v>28.09730409777139</v>
                </pt>
                <pt idx="21">
                  <v>28.46772893772894</v>
                </pt>
                <pt idx="22">
                  <v>29.11749054224464</v>
                </pt>
                <pt idx="23">
                  <v>22.82290878520387</v>
                </pt>
                <pt idx="24">
                  <v>21.54811147781445</v>
                </pt>
                <pt idx="25">
                  <v>21.54811147781445</v>
                </pt>
              </numCache>
            </numRef>
          </val>
        </ser>
        <ser>
          <idx val="4"/>
          <order val="4"/>
          <tx>
            <strRef>
              <f>Chart3!$A$86</f>
              <strCache>
                <ptCount val="1"/>
                <pt idx="0">
                  <v>IS (Infra+Service)</v>
                </pt>
              </strCache>
            </strRef>
          </tx>
          <spPr>
            <a:solidFill>
              <a:srgbClr val="4BACC6"/>
            </a:solidFill>
            <a:ln w="28575"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Chart3!$B$79:$AO$80</f>
            </multiLvlStrRef>
          </cat>
          <val>
            <numRef>
              <f>Chart3!$B$86:$AO$86</f>
              <numCache>
                <formatCode>#,##0_ </formatCode>
                <ptCount val="40"/>
                <pt idx="14">
                  <v>13.071798</v>
                </pt>
                <pt idx="15">
                  <v>15.03202846153846</v>
                </pt>
                <pt idx="16">
                  <v>14.47464666666667</v>
                </pt>
                <pt idx="17">
                  <v>15.50855</v>
                </pt>
                <pt idx="18">
                  <v>17.67219815454546</v>
                </pt>
                <pt idx="19">
                  <v>17.27948264</v>
                </pt>
                <pt idx="20">
                  <v>20.05654235</v>
                </pt>
                <pt idx="21">
                  <v>20.05654235</v>
                </pt>
                <pt idx="22">
                  <v>20.05654235</v>
                </pt>
                <pt idx="23">
                  <v>18.5137314</v>
                </pt>
                <pt idx="24">
                  <v>17.27948264</v>
                </pt>
                <pt idx="25">
                  <v>17.27948264</v>
                </pt>
              </numCache>
            </numRef>
          </val>
        </ser>
        <ser>
          <idx val="5"/>
          <order val="5"/>
          <tx>
            <strRef>
              <f>Chart3!$A$87</f>
              <strCache>
                <ptCount val="1"/>
                <pt idx="0">
                  <v>Schina Allocation</v>
                </pt>
              </strCache>
            </strRef>
          </tx>
          <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Chart3!$B$79:$AO$80</f>
            </multiLvlStrRef>
          </cat>
          <val>
            <numRef>
              <f>Chart3!$B$87:$AO$87</f>
              <numCache>
                <formatCode>#,##0_ </formatCode>
                <ptCount val="40"/>
                <pt idx="14">
                  <v>19.49193450549451</v>
                </pt>
                <pt idx="15">
                  <v>17.96001966480447</v>
                </pt>
                <pt idx="16">
                  <v>76.43983824175824</v>
                </pt>
                <pt idx="17">
                  <v>23.01559333333335</v>
                </pt>
                <pt idx="18">
                  <v>15.87669475054945</v>
                </pt>
                <pt idx="19">
                  <v>69.7253515978261</v>
                </pt>
                <pt idx="20">
                  <v>25.55322255851064</v>
                </pt>
                <pt idx="21">
                  <v>25.93285337368421</v>
                </pt>
                <pt idx="22">
                  <v>94.69077674736843</v>
                </pt>
                <pt idx="23">
                  <v>17.72994805902778</v>
                </pt>
                <pt idx="24">
                  <v>14.71323625347222</v>
                </pt>
                <pt idx="25">
                  <v>64.63079264583334</v>
                </pt>
              </numCache>
            </numRef>
          </val>
        </ser>
        <ser>
          <idx val="6"/>
          <order val="6"/>
          <tx>
            <strRef>
              <f>Chart3!$A$90</f>
              <strCache>
                <ptCount val="1"/>
                <pt idx="0">
                  <v>CSC Allocation</v>
                </pt>
              </strCache>
            </strRef>
          </tx>
          <spPr>
            <a:solidFill>
              <a:srgbClr val="00FFFF"/>
            </a:solidFill>
            <a:ln w="0">
              <a:solidFill>
                <a:sysClr lastClr="000000" val="windowText"/>
              </a:solidFill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Chart3!$B$79:$AO$80</f>
            </multiLvlStrRef>
          </cat>
          <val>
            <numRef>
              <f>Chart3!$B$90:$AO$90</f>
              <numCache>
                <formatCode>#,##0_ </formatCode>
                <ptCount val="40"/>
                <pt idx="14">
                  <v>26.57037847425203</v>
                </pt>
                <pt idx="15">
                  <v>36.69593896192227</v>
                </pt>
                <pt idx="16">
                  <v>42.99517542421485</v>
                </pt>
                <pt idx="17">
                  <v>52.69311764483921</v>
                </pt>
                <pt idx="18">
                  <v>55.01660042564589</v>
                </pt>
                <pt idx="19">
                  <v>60.12283971893748</v>
                </pt>
                <pt idx="20">
                  <v>71.69948245344307</v>
                </pt>
                <pt idx="21">
                  <v>74.00218246781012</v>
                </pt>
                <pt idx="22">
                  <v>90.37872511185327</v>
                </pt>
                <pt idx="23">
                  <v>68.17894022998436</v>
                </pt>
                <pt idx="24">
                  <v>56.70751837113009</v>
                </pt>
                <pt idx="25">
                  <v>68.81069737930893</v>
                </pt>
              </numCache>
            </numRef>
          </val>
        </ser>
        <ser>
          <idx val="7"/>
          <order val="7"/>
          <tx>
            <strRef>
              <f>Chart3!$A$88</f>
              <strCache>
                <ptCount val="1"/>
                <pt idx="0">
                  <v>Travelling </v>
                </pt>
              </strCache>
            </strRef>
          </tx>
          <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Chart3!$B$79:$AO$80</f>
            </multiLvlStrRef>
          </cat>
          <val>
            <numRef>
              <f>Chart3!$B$88:$AO$88</f>
              <numCache>
                <formatCode>#,##0_ </formatCode>
                <ptCount val="40"/>
                <pt idx="14">
                  <v>25.98831</v>
                </pt>
                <pt idx="15">
                  <v>15.277888</v>
                </pt>
                <pt idx="16">
                  <v>13.566752</v>
                </pt>
                <pt idx="17">
                  <v>22.763914</v>
                </pt>
                <pt idx="18">
                  <v>3.075</v>
                </pt>
                <pt idx="19">
                  <v>2.733333333333333</v>
                </pt>
                <pt idx="20">
                  <v>4.1</v>
                </pt>
                <pt idx="21">
                  <v>4.1</v>
                </pt>
                <pt idx="22">
                  <v>4.1</v>
                </pt>
                <pt idx="23">
                  <v>2.733333333333333</v>
                </pt>
                <pt idx="24">
                  <v>2.733333333333333</v>
                </pt>
                <pt idx="25">
                  <v>2.733333333333333</v>
                </pt>
              </numCache>
            </numRef>
          </val>
        </ser>
        <ser>
          <idx val="8"/>
          <order val="8"/>
          <tx>
            <strRef>
              <f>Chart3!$A$89</f>
              <strCache>
                <ptCount val="1"/>
                <pt idx="0">
                  <v>Other SGA</v>
                </pt>
              </strCache>
            </strRef>
          </tx>
          <spPr>
            <a:solidFill>
              <a:srgbClr val="CCCCFF"/>
            </a:solidFill>
            <a:ln w="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Chart3!$B$79:$AO$80</f>
            </multiLvlStrRef>
          </cat>
          <val>
            <numRef>
              <f>Chart3!$B$89:$AO$89</f>
              <numCache>
                <formatCode>#,##0_ </formatCode>
                <ptCount val="40"/>
                <pt idx="14">
                  <v>28.09829906766917</v>
                </pt>
                <pt idx="15">
                  <v>6.209541791044776</v>
                </pt>
                <pt idx="16">
                  <v>4.688405253731345</v>
                </pt>
                <pt idx="17">
                  <v>3.658794632587858</v>
                </pt>
                <pt idx="18">
                  <v>8.310202020766775</v>
                </pt>
                <pt idx="19">
                  <v>7.198940530071356</v>
                </pt>
                <pt idx="20">
                  <v>11.67274401869159</v>
                </pt>
                <pt idx="21">
                  <v>11.80716234920635</v>
                </pt>
                <pt idx="22">
                  <v>13.27384055737705</v>
                </pt>
                <pt idx="23">
                  <v>7.577839672131147</v>
                </pt>
                <pt idx="24">
                  <v>7.607469922992299</v>
                </pt>
                <pt idx="25">
                  <v>7.607349548954895</v>
                </pt>
              </numCache>
            </numRef>
          </val>
        </ser>
        <ser>
          <idx val="9"/>
          <order val="9"/>
          <tx>
            <strRef>
              <f>Chart3!$A$85</f>
              <strCache>
                <ptCount val="1"/>
                <pt idx="0">
                  <v>CAD</v>
                </pt>
              </strCache>
            </strRef>
          </tx>
          <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Chart3!$B$79:$AO$80</f>
            </multiLvlStrRef>
          </cat>
          <val>
            <numRef>
              <f>Chart3!$B$85:$AO$85</f>
              <numCache>
                <formatCode>#,##0_ </formatCode>
                <ptCount val="40"/>
                <pt idx="14">
                  <v>0.6818834905660374</v>
                </pt>
                <pt idx="15">
                  <v>0.9284839622641509</v>
                </pt>
                <pt idx="16">
                  <v>0.9442199009900992</v>
                </pt>
                <pt idx="17">
                  <v>0.6345421212121209</v>
                </pt>
                <pt idx="18">
                  <v>-0.04646632653061269</v>
                </pt>
                <pt idx="19">
                  <v>0.09826275510204076</v>
                </pt>
                <pt idx="20">
                  <v>1.572148265306123</v>
                </pt>
                <pt idx="21">
                  <v>1.512148367346939</v>
                </pt>
                <pt idx="22">
                  <v>1.475013571428572</v>
                </pt>
                <pt idx="23">
                  <v>1.004246020408163</v>
                </pt>
                <pt idx="24">
                  <v>0.9959674489795917</v>
                </pt>
                <pt idx="25">
                  <v>0.9665296938775511</v>
                </pt>
              </numCache>
            </numRef>
          </val>
        </ser>
        <ser>
          <idx val="10"/>
          <order val="10"/>
          <tx>
            <strRef>
              <f>Chart3!$A$83</f>
              <strCache>
                <ptCount val="1"/>
                <pt idx="0">
                  <v>Depreciation</v>
                </pt>
              </strCache>
            </strRef>
          </tx>
          <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Chart3!$B$79:$AO$80</f>
            </multiLvlStrRef>
          </cat>
          <val>
            <numRef>
              <f>Chart3!$B$83:$AO$83</f>
              <numCache>
                <formatCode>#,##0_ </formatCode>
                <ptCount val="40"/>
                <pt idx="14">
                  <v>2.553232</v>
                </pt>
                <pt idx="15">
                  <v>2.553168</v>
                </pt>
                <pt idx="16">
                  <v>2.553216</v>
                </pt>
                <pt idx="17">
                  <v>2.553224</v>
                </pt>
                <pt idx="18">
                  <v>3.5682888</v>
                </pt>
                <pt idx="19">
                  <v>3.171812266666667</v>
                </pt>
                <pt idx="20">
                  <v>4.7577184</v>
                </pt>
                <pt idx="21">
                  <v>4.7577184</v>
                </pt>
                <pt idx="22">
                  <v>4.7577184</v>
                </pt>
                <pt idx="23">
                  <v>3.301812266666666</v>
                </pt>
                <pt idx="24">
                  <v>3.241812266666666</v>
                </pt>
                <pt idx="25">
                  <v>3.241812266666666</v>
                </pt>
              </numCache>
            </numRef>
          </val>
        </ser>
        <ser>
          <idx val="11"/>
          <order val="11"/>
          <tx>
            <strRef>
              <f>Chart3!$A$92</f>
              <strCache>
                <ptCount val="1"/>
                <pt idx="0">
                  <v>Profit</v>
                </pt>
              </strCache>
            </strRef>
          </tx>
          <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Chart3!$B$79:$AO$80</f>
            </multiLvlStrRef>
          </cat>
          <val>
            <numRef>
              <f>Chart3!$B$92:$AO$92</f>
              <numCache>
                <formatCode>#,##0_ </formatCode>
                <ptCount val="40"/>
                <pt idx="27">
                  <v>-192.7365001689342</v>
                </pt>
                <pt idx="28">
                  <v>-116.2135520666985</v>
                </pt>
                <pt idx="29">
                  <v>99.778558949206</v>
                </pt>
                <pt idx="30">
                  <v>-42.96435700040456</v>
                </pt>
                <pt idx="31">
                  <v>53.37974973338299</v>
                </pt>
                <pt idx="32">
                  <v>-52.96756856799885</v>
                </pt>
                <pt idx="33">
                  <v>-63.87135624372274</v>
                </pt>
                <pt idx="34">
                  <v>-66.99853034577666</v>
                </pt>
                <pt idx="35">
                  <v>-162.3138575802719</v>
                </pt>
                <pt idx="36">
                  <v>50.28446093324465</v>
                </pt>
                <pt idx="37">
                  <v>1.260288985611339</v>
                </pt>
                <pt idx="38">
                  <v>-70.11103308578919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0"/>
        <overlap val="100"/>
        <axId val="108505344"/>
        <axId val="108822528"/>
      </barChart>
      <lineChart>
        <grouping val="standard"/>
        <varyColors val="0"/>
        <ser>
          <idx val="12"/>
          <order val="12"/>
          <tx>
            <strRef>
              <f>Chart3!$A$94</f>
              <strCache>
                <ptCount val="1"/>
                <pt idx="0">
                  <v> Total </v>
                </pt>
              </strCache>
            </strRef>
          </tx>
          <spPr>
            <a:ln w="28575">
              <a:noFill/>
              <a:prstDash val="solid"/>
            </a:ln>
          </spPr>
          <marker>
            <symbol val="dot"/>
            <size val="2"/>
            <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spPr>
          </marker>
          <dLbls>
            <dLbl>
              <idx val="0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4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5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6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7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8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9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0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1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2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4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5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6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7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8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9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2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3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4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5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7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8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9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2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3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4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5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6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7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8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b="1" lang="zh-CN" sz="1100">
                    <a:solidFill>
                      <a:srgbClr val="C00000"/>
                    </a:solidFill>
                  </a:defRPr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Chart3!$B$79:$AE$80</f>
            </multiLvlStrRef>
          </cat>
          <val>
            <numRef>
              <f>Chart3!$B$94:$AO$94</f>
              <numCache>
                <formatCode>_ * #,##0_ ;_ * \-#,##0_ ;_ * "-"??_ ;_ @_ </formatCode>
                <ptCount val="40"/>
                <pt idx="1">
                  <v>118.15821</v>
                </pt>
                <pt idx="2">
                  <v>175.66944</v>
                </pt>
                <pt idx="3">
                  <v>455.16087</v>
                </pt>
                <pt idx="4">
                  <v>327.77941</v>
                </pt>
                <pt idx="5">
                  <v>304.8701666666666</v>
                </pt>
                <pt idx="6">
                  <v>315.205</v>
                </pt>
                <pt idx="7">
                  <v>461.265</v>
                </pt>
                <pt idx="8">
                  <v>461.265</v>
                </pt>
                <pt idx="9">
                  <v>461.265</v>
                </pt>
                <pt idx="10">
                  <v>461.265</v>
                </pt>
                <pt idx="11">
                  <v>315.205</v>
                </pt>
                <pt idx="12">
                  <v>315.205</v>
                </pt>
                <pt idx="14">
                  <v>310.8947101689342</v>
                </pt>
                <pt idx="15">
                  <v>291.8829920666985</v>
                </pt>
                <pt idx="16">
                  <v>355.382311050794</v>
                </pt>
                <pt idx="17">
                  <v>370.7437670004045</v>
                </pt>
                <pt idx="18">
                  <v>251.4904169332837</v>
                </pt>
                <pt idx="19">
                  <v>368.1725685679988</v>
                </pt>
                <pt idx="20">
                  <v>525.1363562437227</v>
                </pt>
                <pt idx="21">
                  <v>528.2635303457766</v>
                </pt>
                <pt idx="22">
                  <v>623.5788575802719</v>
                </pt>
                <pt idx="23">
                  <v>410.9805390667553</v>
                </pt>
                <pt idx="24">
                  <v>313.9447110143886</v>
                </pt>
                <pt idx="25">
                  <v>385.3160330857892</v>
                </pt>
                <pt idx="27">
                  <v>-192.7365001689342</v>
                </pt>
                <pt idx="28">
                  <v>-116.2135520666985</v>
                </pt>
                <pt idx="29">
                  <v>99.778558949206</v>
                </pt>
                <pt idx="30">
                  <v>-42.96435700040456</v>
                </pt>
                <pt idx="31">
                  <v>53.37974973338299</v>
                </pt>
                <pt idx="32">
                  <v>-52.96756856799885</v>
                </pt>
                <pt idx="33">
                  <v>-63.87135624372274</v>
                </pt>
                <pt idx="34">
                  <v>-66.99853034577666</v>
                </pt>
                <pt idx="35">
                  <v>-162.3138575802719</v>
                </pt>
                <pt idx="36">
                  <v>50.28446093324465</v>
                </pt>
                <pt idx="37">
                  <v>1.260288985611339</v>
                </pt>
                <pt idx="38">
                  <v>-70.11103308578919</v>
                </pt>
              </numCache>
            </numRef>
          </val>
          <smooth val="0"/>
        </ser>
        <ser>
          <idx val="13"/>
          <order val="13"/>
          <tx>
            <strRef>
              <f>Chart3!$A$93</f>
              <strCache>
                <ptCount val="1"/>
                <pt idx="0">
                  <v> PL% </v>
                </pt>
              </strCache>
            </strRef>
          </tx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dPt>
            <idx val="9"/>
            <bubble3D val="0"/>
            <spPr>
              <a:ln>
                <a:prstDash val="solid"/>
              </a:ln>
            </spPr>
          </dPt>
          <dLbls>
            <dLbl>
              <idx val="9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7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8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9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2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3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4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5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6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7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8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Chart3!$B$79:$AE$80</f>
            </multiLvlStrRef>
          </cat>
          <val>
            <numRef>
              <f>Chart3!$B$93:$AO$93</f>
              <numCache>
                <formatCode>#,##0_ </formatCode>
                <ptCount val="40"/>
                <pt idx="27">
                  <formatCode>0.00%</formatCode>
                  <v>-1.631173154780647</v>
                </pt>
                <pt idx="28">
                  <formatCode>0.00%</formatCode>
                  <v>-0.6615467782370028</v>
                </pt>
                <pt idx="29">
                  <formatCode>0.00%</formatCode>
                  <v>0.2192160300361628</v>
                </pt>
                <pt idx="30">
                  <formatCode>0.00%</formatCode>
                  <v>-0.131077046604009</v>
                </pt>
                <pt idx="31">
                  <formatCode>0.00%</formatCode>
                  <v>0.1750901057883645</v>
                </pt>
                <pt idx="32">
                  <formatCode>0.00%</formatCode>
                  <v>-0.168041650887514</v>
                </pt>
                <pt idx="33">
                  <formatCode>0.00%</formatCode>
                  <v>-0.1384699819923964</v>
                </pt>
                <pt idx="34">
                  <formatCode>0.00%</formatCode>
                  <v>-0.1452495427699406</v>
                </pt>
                <pt idx="35">
                  <formatCode>0.00%</formatCode>
                  <v>-0.3518885187045883</v>
                </pt>
                <pt idx="36">
                  <formatCode>0.00%</formatCode>
                  <v>0.1090142563022225</v>
                </pt>
                <pt idx="37">
                  <formatCode>0.00%</formatCode>
                  <v>0.003998315336404369</v>
                </pt>
                <pt idx="38">
                  <formatCode>0.00%</formatCode>
                  <v>-0.2224299522082111</v>
                </pt>
              </numCache>
            </numRef>
          </val>
          <smooth val="0"/>
        </ser>
        <dLbls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08505344"/>
        <axId val="108822528"/>
      </lineChart>
      <catAx>
        <axId val="10850534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zh-CN"/>
            </a:pPr>
            <a:r>
              <a:t/>
            </a:r>
            <a:endParaRPr lang="zh-CN"/>
          </a:p>
        </txPr>
        <crossAx val="108822528"/>
        <crosses val="autoZero"/>
        <auto val="1"/>
        <lblAlgn val="ctr"/>
        <lblOffset val="100"/>
        <tickLblSkip val="1"/>
        <tickMarkSkip val="1"/>
        <noMultiLvlLbl val="0"/>
      </catAx>
      <valAx>
        <axId val="108822528"/>
        <scaling>
          <orientation val="minMax"/>
        </scaling>
        <delete val="0"/>
        <axPos val="l"/>
        <majorGridlines>
          <spPr>
            <a:ln w="3175">
              <a:solidFill>
                <a:srgbClr val="C0C0C0"/>
              </a:solidFill>
              <a:prstDash val="sysDash"/>
            </a:ln>
          </spPr>
        </majorGridlines>
        <numFmt formatCode="#,##0_ " sourceLinked="1"/>
        <majorTickMark val="in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zh-CN"/>
            </a:pPr>
            <a:r>
              <a:t/>
            </a:r>
            <a:endParaRPr lang="zh-CN"/>
          </a:p>
        </txPr>
        <crossAx val="108505344"/>
        <crosses val="autoZero"/>
        <crossBetween val="between"/>
      </valAx>
    </plotArea>
    <legend>
      <legendPos val="b"/>
      <legendEntry>
        <idx val="0"/>
        <delete val="1"/>
      </legendEntry>
      <legendEntry>
        <idx val="11"/>
        <delete val="1"/>
      </legendEntry>
      <legendEntry>
        <idx val="12"/>
        <delete val="1"/>
      </legendEntry>
      <legendEntry>
        <idx val="13"/>
        <delete val="1"/>
      </legendEntry>
      <layout>
        <manualLayout>
          <xMode val="edge"/>
          <yMode val="edge"/>
          <x val="0.1297853271254065"/>
          <y val="0.8793741946132552"/>
          <w val="0.7609367845971161"/>
          <h val="0.101191760772333"/>
        </manualLayout>
      </layout>
      <overlay val="0"/>
      <spPr>
        <a:ln>
          <a:solidFill>
            <a:srgbClr val="4F81BD"/>
          </a:solidFill>
          <a:prstDash val="solid"/>
        </a:ln>
      </spPr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altLang="zh-CN" b="1" baseline="0" i="0" lang="en-US" sz="1400">
                <effectLst/>
              </a:rPr>
              <a:t>12276 PL for 2017</a:t>
            </a:r>
            <a:endParaRPr altLang="zh-CN" lang="zh-CN" sz="1400">
              <effectLst/>
            </a:endParaRPr>
          </a:p>
        </rich>
      </tx>
      <overlay val="0"/>
    </title>
    <plotArea>
      <layout>
        <manualLayout>
          <layoutTarget val="inner"/>
          <xMode val="edge"/>
          <yMode val="edge"/>
          <x val="0.03112186281182647"/>
          <y val="0.08066499408792584"/>
          <w val="0.9374452868130915"/>
          <h val="0.7953584098848927"/>
        </manualLayout>
      </layout>
      <barChart>
        <barDir val="col"/>
        <grouping val="stacked"/>
        <varyColors val="0"/>
        <ser>
          <idx val="0"/>
          <order val="0"/>
          <tx>
            <strRef>
              <f>Chart3!$A$133</f>
              <strCache>
                <ptCount val="1"/>
                <pt idx="0">
                  <v>Revenue</v>
                </pt>
              </strCache>
            </strRef>
          </tx>
          <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Chart3!$B$121:$AO$122</f>
            </multiLvlStrRef>
          </cat>
          <val>
            <numRef>
              <f>Chart3!$B$133:$AO$133</f>
              <numCache>
                <formatCode>#,##0_ </formatCode>
                <ptCount val="40"/>
                <pt idx="1">
                  <v>266.56323</v>
                </pt>
                <pt idx="2">
                  <v>266.08755</v>
                </pt>
                <pt idx="3">
                  <v>268.77384</v>
                </pt>
                <pt idx="4">
                  <v>265.59975</v>
                </pt>
                <pt idx="5">
                  <v>264.784</v>
                </pt>
                <pt idx="6">
                  <v>264.784</v>
                </pt>
                <pt idx="7">
                  <v>264.784</v>
                </pt>
                <pt idx="8">
                  <v>264.784</v>
                </pt>
                <pt idx="9">
                  <v>264.784</v>
                </pt>
                <pt idx="10">
                  <v>264.784</v>
                </pt>
                <pt idx="11">
                  <v>264.784</v>
                </pt>
                <pt idx="12">
                  <v>264.784</v>
                </pt>
              </numCache>
            </numRef>
          </val>
        </ser>
        <ser>
          <idx val="1"/>
          <order val="1"/>
          <tx>
            <strRef>
              <f>Chart3!$A$123</f>
              <strCache>
                <ptCount val="1"/>
                <pt idx="0">
                  <v>Personnel</v>
                </pt>
              </strCache>
            </strRef>
          </tx>
          <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Chart3!$B$121:$AO$122</f>
            </multiLvlStrRef>
          </cat>
          <val>
            <numRef>
              <f>Chart3!$B$123:$AO$123</f>
              <numCache>
                <formatCode>#,##0_ </formatCode>
                <ptCount val="40"/>
                <pt idx="14">
                  <v>81.08683000000001</v>
                </pt>
                <pt idx="15">
                  <v>80.61098999999999</v>
                </pt>
                <pt idx="16">
                  <v>72.77047999999999</v>
                </pt>
                <pt idx="17">
                  <v>80.87610000000001</v>
                </pt>
                <pt idx="18">
                  <v>72.65192949999999</v>
                </pt>
                <pt idx="19">
                  <v>73.125066</v>
                </pt>
                <pt idx="20">
                  <v>72.65192949999999</v>
                </pt>
                <pt idx="21">
                  <v>72.65192949999999</v>
                </pt>
                <pt idx="22">
                  <v>25.7960717</v>
                </pt>
                <pt idx="23">
                  <v>72.65192949999999</v>
                </pt>
                <pt idx="24">
                  <v>72.65192949999999</v>
                </pt>
                <pt idx="25">
                  <v>79.2621552</v>
                </pt>
              </numCache>
            </numRef>
          </val>
        </ser>
        <ser>
          <idx val="2"/>
          <order val="2"/>
          <tx>
            <strRef>
              <f>Chart3!$A$124</f>
              <strCache>
                <ptCount val="1"/>
                <pt idx="0">
                  <v>OS</v>
                </pt>
              </strCache>
            </strRef>
          </tx>
          <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Chart3!$B$121:$AO$122</f>
            </multiLvlStrRef>
          </cat>
          <val>
            <numRef>
              <f>Chart3!$B$124:$AO$124</f>
              <numCache>
                <formatCode>#,##0_ </formatCode>
                <ptCount val="40"/>
                <pt idx="14">
                  <v>67.04300000000001</v>
                </pt>
                <pt idx="15">
                  <v>61.958</v>
                </pt>
                <pt idx="16">
                  <v>70.97999999999999</v>
                </pt>
                <pt idx="17">
                  <v>70.97999999999999</v>
                </pt>
                <pt idx="18">
                  <v>0</v>
                </pt>
                <pt idx="19">
                  <v>66</v>
                </pt>
                <pt idx="20">
                  <v>66</v>
                </pt>
                <pt idx="21">
                  <v>66</v>
                </pt>
                <pt idx="22">
                  <v>66</v>
                </pt>
                <pt idx="23">
                  <v>66</v>
                </pt>
                <pt idx="24">
                  <v>66</v>
                </pt>
                <pt idx="25">
                  <v>66</v>
                </pt>
              </numCache>
            </numRef>
          </val>
        </ser>
        <ser>
          <idx val="3"/>
          <order val="3"/>
          <tx>
            <strRef>
              <f>Chart3!$A$126</f>
              <strCache>
                <ptCount val="1"/>
                <pt idx="0">
                  <v>Rental</v>
                </pt>
              </strCache>
            </strRef>
          </tx>
          <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Chart3!$B$121:$AO$122</f>
            </multiLvlStrRef>
          </cat>
          <val>
            <numRef>
              <f>Chart3!$B$126:$AO$126</f>
              <numCache>
                <formatCode>#,##0_ </formatCode>
                <ptCount val="40"/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0.22327</v>
                </pt>
                <pt idx="18">
                  <v>0.7278500000000001</v>
                </pt>
                <pt idx="19">
                  <v>0.7278500000000001</v>
                </pt>
                <pt idx="20">
                  <v>0.7278500000000001</v>
                </pt>
                <pt idx="21">
                  <v>0.7278500000000001</v>
                </pt>
                <pt idx="22">
                  <v>0.7278500000000001</v>
                </pt>
                <pt idx="23">
                  <v>0.7278500000000001</v>
                </pt>
                <pt idx="24">
                  <v>0.7278500000000001</v>
                </pt>
                <pt idx="25">
                  <v>0.7278500000000001</v>
                </pt>
              </numCache>
            </numRef>
          </val>
        </ser>
        <ser>
          <idx val="4"/>
          <order val="4"/>
          <tx>
            <strRef>
              <f>Chart3!$A$128</f>
              <strCache>
                <ptCount val="1"/>
                <pt idx="0">
                  <v>IS (Infra+Service)</v>
                </pt>
              </strCache>
            </strRef>
          </tx>
          <spPr>
            <a:solidFill>
              <a:srgbClr val="4BACC6"/>
            </a:solidFill>
            <a:ln w="28575"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Chart3!$B$121:$AO$122</f>
            </multiLvlStrRef>
          </cat>
          <val>
            <numRef>
              <f>Chart3!$B$128:$AO$128</f>
              <numCache>
                <formatCode>#,##0_ </formatCode>
                <ptCount val="40"/>
                <pt idx="14">
                  <v>10.0929</v>
                </pt>
                <pt idx="15">
                  <v>10.07236</v>
                </pt>
                <pt idx="16">
                  <v>10.05571</v>
                </pt>
                <pt idx="17">
                  <v>10.05571</v>
                </pt>
                <pt idx="18">
                  <v>9.999401599999999</v>
                </pt>
                <pt idx="19">
                  <v>9.999401599999999</v>
                </pt>
                <pt idx="20">
                  <v>9.999401599999999</v>
                </pt>
                <pt idx="21">
                  <v>9.999401599999999</v>
                </pt>
                <pt idx="22">
                  <v>9.999401599999999</v>
                </pt>
                <pt idx="23">
                  <v>9.999401599999999</v>
                </pt>
                <pt idx="24">
                  <v>9.999401599999999</v>
                </pt>
                <pt idx="25">
                  <v>9.999401599999999</v>
                </pt>
              </numCache>
            </numRef>
          </val>
        </ser>
        <ser>
          <idx val="5"/>
          <order val="5"/>
          <tx>
            <strRef>
              <f>Chart3!$A$129</f>
              <strCache>
                <ptCount val="1"/>
                <pt idx="0">
                  <v>Schina Allocation</v>
                </pt>
              </strCache>
            </strRef>
          </tx>
          <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Chart3!$B$121:$AO$122</f>
            </multiLvlStrRef>
          </cat>
          <val>
            <numRef>
              <f>Chart3!$B$129:$AO$129</f>
              <numCache>
                <formatCode>#,##0_ </formatCode>
                <ptCount val="40"/>
                <pt idx="14">
                  <v>9.745967252747258</v>
                </pt>
                <pt idx="15">
                  <v>8.980009832402237</v>
                </pt>
                <pt idx="16">
                  <v>38.21991912087913</v>
                </pt>
                <pt idx="17">
                  <v>11.50779666666667</v>
                </pt>
                <pt idx="18">
                  <v>10.58446316703297</v>
                </pt>
                <pt idx="19">
                  <v>41.83521095869565</v>
                </pt>
                <pt idx="20">
                  <v>10.22128902340426</v>
                </pt>
                <pt idx="21">
                  <v>10.37314134947368</v>
                </pt>
                <pt idx="22">
                  <v>37.87631069894736</v>
                </pt>
                <pt idx="23">
                  <v>10.63796883541667</v>
                </pt>
                <pt idx="24">
                  <v>8.827941752083332</v>
                </pt>
                <pt idx="25">
                  <v>38.7784755875</v>
                </pt>
              </numCache>
            </numRef>
          </val>
        </ser>
        <ser>
          <idx val="6"/>
          <order val="6"/>
          <tx>
            <strRef>
              <f>Chart3!$A$132</f>
              <strCache>
                <ptCount val="1"/>
                <pt idx="0">
                  <v>CSC Allocation</v>
                </pt>
              </strCache>
            </strRef>
          </tx>
          <spPr>
            <a:solidFill>
              <a:srgbClr val="00FFFF"/>
            </a:solidFill>
            <a:ln w="0">
              <a:solidFill>
                <a:sysClr lastClr="000000" val="windowText"/>
              </a:solidFill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Chart3!$B$121:$AO$122</f>
            </multiLvlStrRef>
          </cat>
          <val>
            <numRef>
              <f>Chart3!$B$132:$AO$132</f>
              <numCache>
                <formatCode>#,##0_ </formatCode>
                <ptCount val="40"/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</numCache>
            </numRef>
          </val>
        </ser>
        <ser>
          <idx val="7"/>
          <order val="7"/>
          <tx>
            <strRef>
              <f>Chart3!$A$130</f>
              <strCache>
                <ptCount val="1"/>
                <pt idx="0">
                  <v>Travelling </v>
                </pt>
              </strCache>
            </strRef>
          </tx>
          <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Chart3!$B$121:$AO$122</f>
            </multiLvlStrRef>
          </cat>
          <val>
            <numRef>
              <f>Chart3!$B$130:$AO$130</f>
              <numCache>
                <formatCode>#,##0_ </formatCode>
                <ptCount val="40"/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3.4</v>
                </pt>
                <pt idx="19">
                  <v>3.4</v>
                </pt>
                <pt idx="20">
                  <v>3.4</v>
                </pt>
                <pt idx="21">
                  <v>3.4</v>
                </pt>
                <pt idx="22">
                  <v>3.4</v>
                </pt>
                <pt idx="23">
                  <v>3.4</v>
                </pt>
                <pt idx="24">
                  <v>3.4</v>
                </pt>
                <pt idx="25">
                  <v>3.4</v>
                </pt>
              </numCache>
            </numRef>
          </val>
        </ser>
        <ser>
          <idx val="8"/>
          <order val="8"/>
          <tx>
            <strRef>
              <f>Chart3!$A$131</f>
              <strCache>
                <ptCount val="1"/>
                <pt idx="0">
                  <v>Other SGA</v>
                </pt>
              </strCache>
            </strRef>
          </tx>
          <spPr>
            <a:solidFill>
              <a:srgbClr val="CCCCFF"/>
            </a:solidFill>
            <a:ln w="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Chart3!$B$121:$AO$122</f>
            </multiLvlStrRef>
          </cat>
          <val>
            <numRef>
              <f>Chart3!$B$131:$AO$131</f>
              <numCache>
                <formatCode>#,##0_ </formatCode>
                <ptCount val="40"/>
                <pt idx="14">
                  <v>0.1429800000000001</v>
                </pt>
                <pt idx="15">
                  <v>0.1978399999999999</v>
                </pt>
                <pt idx="16">
                  <v>0.1909499999999998</v>
                </pt>
                <pt idx="17">
                  <v>0.1505100000000003</v>
                </pt>
                <pt idx="18">
                  <v>2.1577</v>
                </pt>
                <pt idx="19">
                  <v>2.15765</v>
                </pt>
                <pt idx="20">
                  <v>2.26889</v>
                </pt>
                <pt idx="21">
                  <v>2.26881</v>
                </pt>
                <pt idx="22">
                  <v>2.84268</v>
                </pt>
                <pt idx="23">
                  <v>2.2686</v>
                </pt>
                <pt idx="24">
                  <v>2.26851</v>
                </pt>
                <pt idx="25">
                  <v>2.26843</v>
                </pt>
              </numCache>
            </numRef>
          </val>
        </ser>
        <ser>
          <idx val="9"/>
          <order val="9"/>
          <tx>
            <strRef>
              <f>Chart3!$A$127</f>
              <strCache>
                <ptCount val="1"/>
                <pt idx="0">
                  <v>CAD</v>
                </pt>
              </strCache>
            </strRef>
          </tx>
          <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Chart3!$B$121:$AO$122</f>
            </multiLvlStrRef>
          </cat>
          <val>
            <numRef>
              <f>Chart3!$B$127:$AO$127</f>
              <numCache>
                <formatCode>#,##0_ </formatCode>
                <ptCount val="40"/>
                <pt idx="14">
                  <v>4.773184433962262</v>
                </pt>
                <pt idx="15">
                  <v>7.427871698113207</v>
                </pt>
                <pt idx="16">
                  <v>6.609539306930695</v>
                </pt>
                <pt idx="17">
                  <v>4.441794848484847</v>
                </pt>
                <pt idx="18">
                  <v>-0.3252642857142888</v>
                </pt>
                <pt idx="19">
                  <v>0.6878392857142853</v>
                </pt>
                <pt idx="20">
                  <v>11.00503785714286</v>
                </pt>
                <pt idx="21">
                  <v>10.58503857142857</v>
                </pt>
                <pt idx="22">
                  <v>10.325095</v>
                </pt>
                <pt idx="23">
                  <v>7.029722142857143</v>
                </pt>
                <pt idx="24">
                  <v>6.971772142857142</v>
                </pt>
                <pt idx="25">
                  <v>6.765707857142857</v>
                </pt>
              </numCache>
            </numRef>
          </val>
        </ser>
        <ser>
          <idx val="10"/>
          <order val="10"/>
          <tx>
            <strRef>
              <f>Chart3!$A$125</f>
              <strCache>
                <ptCount val="1"/>
                <pt idx="0">
                  <v>Depreciation</v>
                </pt>
              </strCache>
            </strRef>
          </tx>
          <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Chart3!$B$121:$AO$122</f>
            </multiLvlStrRef>
          </cat>
          <val>
            <numRef>
              <f>Chart3!$B$125:$AO$125</f>
              <numCache>
                <formatCode>#,##0_ </formatCode>
                <ptCount val="40"/>
                <pt idx="14">
                  <v>0.30474</v>
                </pt>
                <pt idx="15">
                  <v>0.30475</v>
                </pt>
                <pt idx="16">
                  <v>0.30474</v>
                </pt>
                <pt idx="17">
                  <v>0.30474</v>
                </pt>
                <pt idx="18">
                  <v>0.3899125999999999</v>
                </pt>
                <pt idx="19">
                  <v>0.3899125999999999</v>
                </pt>
                <pt idx="20">
                  <v>0.3899125999999999</v>
                </pt>
                <pt idx="21">
                  <v>0.3899125999999999</v>
                </pt>
                <pt idx="22">
                  <v>0.3899125999999999</v>
                </pt>
                <pt idx="23">
                  <v>0.3899125999999999</v>
                </pt>
                <pt idx="24">
                  <v>0.3899125999999999</v>
                </pt>
                <pt idx="25">
                  <v>0.3899125999999999</v>
                </pt>
              </numCache>
            </numRef>
          </val>
        </ser>
        <ser>
          <idx val="11"/>
          <order val="11"/>
          <tx>
            <strRef>
              <f>Chart3!$A$134</f>
              <strCache>
                <ptCount val="1"/>
                <pt idx="0">
                  <v>Profit</v>
                </pt>
              </strCache>
            </strRef>
          </tx>
          <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Chart3!$B$121:$AO$122</f>
            </multiLvlStrRef>
          </cat>
          <val>
            <numRef>
              <f>Chart3!$B$134:$AO$134</f>
              <numCache>
                <formatCode>#,##0_ </formatCode>
                <ptCount val="40"/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0"/>
        <overlap val="100"/>
        <axId val="109231104"/>
        <axId val="109245184"/>
      </barChart>
      <lineChart>
        <grouping val="standard"/>
        <varyColors val="0"/>
        <ser>
          <idx val="12"/>
          <order val="12"/>
          <tx>
            <strRef>
              <f>Chart3!$A$136</f>
              <strCache>
                <ptCount val="1"/>
                <pt idx="0">
                  <v>Total</v>
                </pt>
              </strCache>
            </strRef>
          </tx>
          <spPr>
            <a:ln w="28575">
              <a:noFill/>
              <a:prstDash val="solid"/>
            </a:ln>
          </spPr>
          <marker>
            <symbol val="dot"/>
            <size val="2"/>
            <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spPr>
          </marker>
          <dLbls>
            <dLbl>
              <idx val="0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4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5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6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7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8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9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0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1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2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4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5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6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7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8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9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2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3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4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5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7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8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9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2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3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4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5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6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7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8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b="1" lang="zh-CN" sz="1100">
                    <a:solidFill>
                      <a:srgbClr val="C00000"/>
                    </a:solidFill>
                  </a:defRPr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Chart3!$B$121:$AO$122</f>
            </multiLvlStrRef>
          </cat>
          <val>
            <numRef>
              <f>Chart3!$B$136:$AO$136</f>
              <numCache>
                <formatCode>_ * #,##0_ ;_ * \-#,##0_ ;_ * "-"??_ ;_ @_ </formatCode>
                <ptCount val="40"/>
                <pt idx="1">
                  <v>266.56323</v>
                </pt>
                <pt idx="2">
                  <v>266.08755</v>
                </pt>
                <pt idx="3">
                  <v>268.77384</v>
                </pt>
                <pt idx="4">
                  <v>265.59975</v>
                </pt>
                <pt idx="5">
                  <v>264.784</v>
                </pt>
                <pt idx="6">
                  <v>264.784</v>
                </pt>
                <pt idx="7">
                  <v>264.784</v>
                </pt>
                <pt idx="8">
                  <v>264.784</v>
                </pt>
                <pt idx="9">
                  <v>264.784</v>
                </pt>
                <pt idx="10">
                  <v>264.784</v>
                </pt>
                <pt idx="11">
                  <v>264.784</v>
                </pt>
                <pt idx="12">
                  <v>264.784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</numCache>
            </numRef>
          </val>
          <smooth val="0"/>
        </ser>
        <ser>
          <idx val="13"/>
          <order val="13"/>
          <tx>
            <strRef>
              <f>Chart3!$A$135</f>
              <strCache>
                <ptCount val="1"/>
                <pt idx="0">
                  <v> PL% </v>
                </pt>
              </strCache>
            </strRef>
          </tx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dPt>
            <idx val="9"/>
            <bubble3D val="0"/>
            <spPr>
              <a:ln>
                <a:prstDash val="solid"/>
              </a:ln>
            </spPr>
          </dPt>
          <dLbls>
            <dLbl>
              <idx val="9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7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8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9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2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3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4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5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6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7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8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Chart3!$B$121:$AO$122</f>
            </multiLvlStrRef>
          </cat>
          <val>
            <numRef>
              <f>Chart3!$B$135:$AO$135</f>
              <numCache>
                <formatCode>#,##0_ </formatCode>
                <ptCount val="40"/>
                <pt idx="27">
                  <formatCode>0.00%</formatCode>
                  <v>0</v>
                </pt>
                <pt idx="28">
                  <formatCode>0.00%</formatCode>
                  <v>0</v>
                </pt>
                <pt idx="29">
                  <formatCode>0.00%</formatCode>
                  <v>0</v>
                </pt>
                <pt idx="30">
                  <formatCode>0.00%</formatCode>
                  <v>0</v>
                </pt>
                <pt idx="31">
                  <formatCode>0.00%</formatCode>
                  <v>0</v>
                </pt>
                <pt idx="32">
                  <formatCode>0.00%</formatCode>
                  <v>0</v>
                </pt>
                <pt idx="33">
                  <formatCode>0.00%</formatCode>
                  <v>0</v>
                </pt>
                <pt idx="34">
                  <formatCode>0.00%</formatCode>
                  <v>0</v>
                </pt>
                <pt idx="35">
                  <formatCode>0.00%</formatCode>
                  <v>0</v>
                </pt>
                <pt idx="36">
                  <formatCode>0.00%</formatCode>
                  <v>0</v>
                </pt>
                <pt idx="37">
                  <formatCode>0.00%</formatCode>
                  <v>0</v>
                </pt>
                <pt idx="38">
                  <formatCode>0.00%</formatCode>
                  <v>0</v>
                </pt>
              </numCache>
            </numRef>
          </val>
          <smooth val="0"/>
        </ser>
        <dLbls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09231104"/>
        <axId val="109245184"/>
      </lineChart>
      <catAx>
        <axId val="10923110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zh-CN"/>
            </a:pPr>
            <a:r>
              <a:t/>
            </a:r>
            <a:endParaRPr lang="zh-CN"/>
          </a:p>
        </txPr>
        <crossAx val="109245184"/>
        <crosses val="autoZero"/>
        <auto val="1"/>
        <lblAlgn val="ctr"/>
        <lblOffset val="100"/>
        <tickLblSkip val="1"/>
        <tickMarkSkip val="1"/>
        <noMultiLvlLbl val="0"/>
      </catAx>
      <valAx>
        <axId val="109245184"/>
        <scaling>
          <orientation val="minMax"/>
        </scaling>
        <delete val="0"/>
        <axPos val="l"/>
        <majorGridlines>
          <spPr>
            <a:ln w="3175">
              <a:solidFill>
                <a:srgbClr val="C0C0C0"/>
              </a:solidFill>
              <a:prstDash val="sysDash"/>
            </a:ln>
          </spPr>
        </majorGridlines>
        <numFmt formatCode="#,##0_ " sourceLinked="1"/>
        <majorTickMark val="in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zh-CN"/>
            </a:pPr>
            <a:r>
              <a:t/>
            </a:r>
            <a:endParaRPr lang="zh-CN"/>
          </a:p>
        </txPr>
        <crossAx val="109231104"/>
        <crosses val="autoZero"/>
        <crossBetween val="between"/>
      </valAx>
    </plotArea>
    <legend>
      <legendPos val="b"/>
      <legendEntry>
        <idx val="0"/>
        <delete val="1"/>
      </legendEntry>
      <legendEntry>
        <idx val="11"/>
        <delete val="1"/>
      </legendEntry>
      <legendEntry>
        <idx val="12"/>
        <delete val="1"/>
      </legendEntry>
      <legendEntry>
        <idx val="13"/>
        <delete val="1"/>
      </legendEntry>
      <layout>
        <manualLayout>
          <xMode val="edge"/>
          <yMode val="edge"/>
          <x val="0.05739522480251463"/>
          <y val="0.9096330961789092"/>
          <w val="0.8333269080548782"/>
          <h val="0.0709327604718656"/>
        </manualLayout>
      </layout>
      <overlay val="0"/>
      <spPr>
        <a:ln>
          <a:solidFill>
            <a:srgbClr val="4F81BD"/>
          </a:solidFill>
          <a:prstDash val="solid"/>
        </a:ln>
      </spPr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altLang="zh-CN" b="1" baseline="0" i="0" lang="en-US" sz="1400">
                <effectLst/>
              </a:rPr>
              <a:t>12278 PL for 2017</a:t>
            </a:r>
            <a:endParaRPr altLang="zh-CN" lang="zh-CN" sz="1400">
              <effectLst/>
            </a:endParaRPr>
          </a:p>
        </rich>
      </tx>
      <overlay val="0"/>
    </title>
    <plotArea>
      <layout>
        <manualLayout>
          <layoutTarget val="inner"/>
          <xMode val="edge"/>
          <yMode val="edge"/>
          <x val="0.03112186281182647"/>
          <y val="0.08066499408792584"/>
          <w val="0.9374452868130915"/>
          <h val="0.7953584098848927"/>
        </manualLayout>
      </layout>
      <barChart>
        <barDir val="col"/>
        <grouping val="stacked"/>
        <varyColors val="0"/>
        <ser>
          <idx val="0"/>
          <order val="0"/>
          <tx>
            <strRef>
              <f>Chart3!$A$171</f>
              <strCache>
                <ptCount val="1"/>
                <pt idx="0">
                  <v>Revenue</v>
                </pt>
              </strCache>
            </strRef>
          </tx>
          <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Chart3!$B$121:$AO$122</f>
            </multiLvlStrRef>
          </cat>
          <val>
            <numRef>
              <f>Chart3!$B$171:$AO$171</f>
              <numCache>
                <formatCode>#,##0_ </formatCode>
                <ptCount val="40"/>
                <pt idx="1">
                  <v>922.16529</v>
                </pt>
                <pt idx="2">
                  <v>912.57669</v>
                </pt>
                <pt idx="3">
                  <v>930.25426</v>
                </pt>
                <pt idx="4">
                  <v>997.1176199999999</v>
                </pt>
                <pt idx="5">
                  <v>953.8097625</v>
                </pt>
                <pt idx="6">
                  <v>972.7688250000001</v>
                </pt>
                <pt idx="7">
                  <v>1148.197575</v>
                </pt>
                <pt idx="8">
                  <v>1148.197575</v>
                </pt>
                <pt idx="9">
                  <v>1163.737575</v>
                </pt>
                <pt idx="10">
                  <v>1244.36445</v>
                </pt>
                <pt idx="11">
                  <v>1244.36445</v>
                </pt>
                <pt idx="12">
                  <v>1244.36445</v>
                </pt>
              </numCache>
            </numRef>
          </val>
        </ser>
        <ser>
          <idx val="1"/>
          <order val="1"/>
          <tx>
            <strRef>
              <f>Chart3!$A$161</f>
              <strCache>
                <ptCount val="1"/>
                <pt idx="0">
                  <v>Personnel</v>
                </pt>
              </strCache>
            </strRef>
          </tx>
          <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Chart3!$B$121:$AO$122</f>
            </multiLvlStrRef>
          </cat>
          <val>
            <numRef>
              <f>Chart3!$B$161:$AO$161</f>
              <numCache>
                <formatCode>#,##0_ </formatCode>
                <ptCount val="40"/>
                <pt idx="14">
                  <v>256.36303</v>
                </pt>
                <pt idx="15">
                  <v>265.90118</v>
                </pt>
                <pt idx="16">
                  <v>225.03051</v>
                </pt>
                <pt idx="17">
                  <v>278.85408</v>
                </pt>
                <pt idx="18">
                  <v>277.3960053</v>
                </pt>
                <pt idx="19">
                  <v>304.3632512</v>
                </pt>
                <pt idx="20">
                  <v>300.100276</v>
                </pt>
                <pt idx="21">
                  <v>342.8304196</v>
                </pt>
                <pt idx="22">
                  <v>319.9416344</v>
                </pt>
                <pt idx="23">
                  <v>365.5346903</v>
                </pt>
                <pt idx="24">
                  <v>365.5346903</v>
                </pt>
                <pt idx="25">
                  <v>386.4410699</v>
                </pt>
              </numCache>
            </numRef>
          </val>
        </ser>
        <ser>
          <idx val="2"/>
          <order val="2"/>
          <tx>
            <strRef>
              <f>Chart3!$A$162</f>
              <strCache>
                <ptCount val="1"/>
                <pt idx="0">
                  <v>OS</v>
                </pt>
              </strCache>
            </strRef>
          </tx>
          <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Chart3!$B$121:$AO$122</f>
            </multiLvlStrRef>
          </cat>
          <val>
            <numRef>
              <f>Chart3!$B$162:$AO$162</f>
              <numCache>
                <formatCode>#,##0_ </formatCode>
                <ptCount val="40"/>
                <pt idx="14">
                  <v>364.0876999999999</v>
                </pt>
                <pt idx="15">
                  <v>271.36798</v>
                </pt>
                <pt idx="16">
                  <v>285.46516</v>
                </pt>
                <pt idx="17">
                  <v>305.946</v>
                </pt>
                <pt idx="18">
                  <v>0</v>
                </pt>
                <pt idx="19">
                  <v>446.5</v>
                </pt>
                <pt idx="20">
                  <v>536.5</v>
                </pt>
                <pt idx="21">
                  <v>536.5</v>
                </pt>
                <pt idx="22">
                  <v>558</v>
                </pt>
                <pt idx="23">
                  <v>568</v>
                </pt>
                <pt idx="24">
                  <v>568</v>
                </pt>
                <pt idx="25">
                  <v>568</v>
                </pt>
              </numCache>
            </numRef>
          </val>
        </ser>
        <ser>
          <idx val="3"/>
          <order val="3"/>
          <tx>
            <strRef>
              <f>Chart3!$A$164</f>
              <strCache>
                <ptCount val="1"/>
                <pt idx="0">
                  <v>Rental</v>
                </pt>
              </strCache>
            </strRef>
          </tx>
          <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Chart3!$B$121:$AO$122</f>
            </multiLvlStrRef>
          </cat>
          <val>
            <numRef>
              <f>Chart3!$B$164:$AO$164</f>
              <numCache>
                <formatCode>#,##0_ </formatCode>
                <ptCount val="40"/>
                <pt idx="14">
                  <v>33.14135851220441</v>
                </pt>
                <pt idx="15">
                  <v>37.36737856246664</v>
                </pt>
                <pt idx="16">
                  <v>36.05182405526017</v>
                </pt>
                <pt idx="17">
                  <v>42.18944632258528</v>
                </pt>
                <pt idx="18">
                  <v>39.48529216814009</v>
                </pt>
                <pt idx="19">
                  <v>39.48529216814009</v>
                </pt>
                <pt idx="20">
                  <v>38.69257115026777</v>
                </pt>
                <pt idx="21">
                  <v>38.69257115026777</v>
                </pt>
                <pt idx="22">
                  <v>38.69257115026777</v>
                </pt>
                <pt idx="23">
                  <v>38.69257115026777</v>
                </pt>
                <pt idx="24">
                  <v>38.69257115026777</v>
                </pt>
                <pt idx="25">
                  <v>38.69257115026777</v>
                </pt>
              </numCache>
            </numRef>
          </val>
        </ser>
        <ser>
          <idx val="4"/>
          <order val="4"/>
          <tx>
            <strRef>
              <f>Chart3!$A$166</f>
              <strCache>
                <ptCount val="1"/>
                <pt idx="0">
                  <v>IS (Infra+Service)</v>
                </pt>
              </strCache>
            </strRef>
          </tx>
          <spPr>
            <a:solidFill>
              <a:srgbClr val="4BACC6"/>
            </a:solidFill>
            <a:ln w="28575"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Chart3!$B$121:$AO$122</f>
            </multiLvlStrRef>
          </cat>
          <val>
            <numRef>
              <f>Chart3!$B$166:$AO$166</f>
              <numCache>
                <formatCode>#,##0_ </formatCode>
                <ptCount val="40"/>
                <pt idx="14">
                  <v>35.91742</v>
                </pt>
                <pt idx="15">
                  <v>35.8025</v>
                </pt>
                <pt idx="16">
                  <v>35.77545</v>
                </pt>
                <pt idx="17">
                  <v>35.77545</v>
                </pt>
                <pt idx="18">
                  <v>35.94670900000001</v>
                </pt>
                <pt idx="19">
                  <v>35.94670900000001</v>
                </pt>
                <pt idx="20">
                  <v>35.94670900000001</v>
                </pt>
                <pt idx="21">
                  <v>35.94670900000001</v>
                </pt>
                <pt idx="22">
                  <v>35.94670900000001</v>
                </pt>
                <pt idx="23">
                  <v>35.94670900000001</v>
                </pt>
                <pt idx="24">
                  <v>35.94670900000001</v>
                </pt>
                <pt idx="25">
                  <v>35.94670900000001</v>
                </pt>
              </numCache>
            </numRef>
          </val>
        </ser>
        <ser>
          <idx val="5"/>
          <order val="5"/>
          <tx>
            <strRef>
              <f>Chart3!$A$167</f>
              <strCache>
                <ptCount val="1"/>
                <pt idx="0">
                  <v>Schina Allocation</v>
                </pt>
              </strCache>
            </strRef>
          </tx>
          <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Chart3!$B$121:$AO$122</f>
            </multiLvlStrRef>
          </cat>
          <val>
            <numRef>
              <f>Chart3!$B$167:$AO$167</f>
              <numCache>
                <formatCode>#,##0_ </formatCode>
                <ptCount val="40"/>
                <pt idx="14">
                  <v>29.23790175824177</v>
                </pt>
                <pt idx="15">
                  <v>24.69502703910615</v>
                </pt>
                <pt idx="16">
                  <v>133.7697169230769</v>
                </pt>
                <pt idx="17">
                  <v>34.52339000000001</v>
                </pt>
                <pt idx="18">
                  <v>37.04562108461539</v>
                </pt>
                <pt idx="19">
                  <v>146.4232383554348</v>
                </pt>
                <pt idx="20">
                  <v>35.77451158191489</v>
                </pt>
                <pt idx="21">
                  <v>41.49256539789474</v>
                </pt>
                <pt idx="22">
                  <v>151.5052427957895</v>
                </pt>
                <pt idx="23">
                  <v>47.87085975937501</v>
                </pt>
                <pt idx="24">
                  <v>39.725737884375</v>
                </pt>
                <pt idx="25">
                  <v>174.50314014375</v>
                </pt>
              </numCache>
            </numRef>
          </val>
        </ser>
        <ser>
          <idx val="6"/>
          <order val="6"/>
          <tx>
            <strRef>
              <f>Chart3!$A$170</f>
              <strCache>
                <ptCount val="1"/>
                <pt idx="0">
                  <v>CSC Allocation</v>
                </pt>
              </strCache>
            </strRef>
          </tx>
          <spPr>
            <a:solidFill>
              <a:srgbClr val="00FFFF"/>
            </a:solidFill>
            <a:ln w="0">
              <a:solidFill>
                <a:sysClr lastClr="000000" val="windowText"/>
              </a:solidFill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Chart3!$B$121:$AO$122</f>
            </multiLvlStrRef>
          </cat>
          <val>
            <numRef>
              <f>Chart3!$B$170:$AO$170</f>
              <numCache>
                <formatCode>#,##0_ </formatCode>
                <ptCount val="40"/>
                <pt idx="14">
                  <v>84.39120611876446</v>
                </pt>
                <pt idx="15">
                  <v>87.78205723865875</v>
                </pt>
                <pt idx="16">
                  <v>96.98989036902444</v>
                </pt>
                <pt idx="17">
                  <v>99.32037286301208</v>
                </pt>
                <pt idx="18">
                  <v>95.1854455244073</v>
                </pt>
                <pt idx="19">
                  <v>111.2868427901787</v>
                </pt>
                <pt idx="20">
                  <v>108.3632952142658</v>
                </pt>
                <pt idx="21">
                  <v>114.5291275449944</v>
                </pt>
                <pt idx="22">
                  <v>140.2960733499624</v>
                </pt>
                <pt idx="23">
                  <v>134.2910439435486</v>
                </pt>
                <pt idx="24">
                  <v>135.2782718394923</v>
                </pt>
                <pt idx="25">
                  <v>162.0235575645746</v>
                </pt>
              </numCache>
            </numRef>
          </val>
        </ser>
        <ser>
          <idx val="7"/>
          <order val="7"/>
          <tx>
            <strRef>
              <f>Chart3!$A$168</f>
              <strCache>
                <ptCount val="1"/>
                <pt idx="0">
                  <v>Travelling </v>
                </pt>
              </strCache>
            </strRef>
          </tx>
          <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Chart3!$B$121:$AO$122</f>
            </multiLvlStrRef>
          </cat>
          <val>
            <numRef>
              <f>Chart3!$B$168:$AO$168</f>
              <numCache>
                <formatCode>#,##0_ </formatCode>
                <ptCount val="40"/>
                <pt idx="14">
                  <v>25.03834</v>
                </pt>
                <pt idx="15">
                  <v>26.18479</v>
                </pt>
                <pt idx="16">
                  <v>-0.47605</v>
                </pt>
                <pt idx="17">
                  <v>25.86664</v>
                </pt>
                <pt idx="18">
                  <v>8.5</v>
                </pt>
                <pt idx="19">
                  <v>8.5</v>
                </pt>
                <pt idx="20">
                  <v>8.5</v>
                </pt>
                <pt idx="21">
                  <v>8.5</v>
                </pt>
                <pt idx="22">
                  <v>8.5</v>
                </pt>
                <pt idx="23">
                  <v>8.5</v>
                </pt>
                <pt idx="24">
                  <v>8.5</v>
                </pt>
                <pt idx="25">
                  <v>8.5</v>
                </pt>
              </numCache>
            </numRef>
          </val>
        </ser>
        <ser>
          <idx val="8"/>
          <order val="8"/>
          <tx>
            <strRef>
              <f>Chart3!$A$169</f>
              <strCache>
                <ptCount val="1"/>
                <pt idx="0">
                  <v>Other SGA</v>
                </pt>
              </strCache>
            </strRef>
          </tx>
          <spPr>
            <a:solidFill>
              <a:srgbClr val="CCCCFF"/>
            </a:solidFill>
            <a:ln w="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Chart3!$B$121:$AO$122</f>
            </multiLvlStrRef>
          </cat>
          <val>
            <numRef>
              <f>Chart3!$B$169:$AO$169</f>
              <numCache>
                <formatCode>#,##0_ </formatCode>
                <ptCount val="40"/>
                <pt idx="14">
                  <v>13.48341165413534</v>
                </pt>
                <pt idx="15">
                  <v>4.338990037313433</v>
                </pt>
                <pt idx="16">
                  <v>87.29100514925373</v>
                </pt>
                <pt idx="17">
                  <v>38.60208530351438</v>
                </pt>
                <pt idx="18">
                  <v>7.357829552715653</v>
                </pt>
                <pt idx="19">
                  <v>7.160414556574922</v>
                </pt>
                <pt idx="20">
                  <v>8.127523831775699</v>
                </pt>
                <pt idx="21">
                  <v>8.225076253968252</v>
                </pt>
                <pt idx="22">
                  <v>10.68078495081967</v>
                </pt>
                <pt idx="23">
                  <v>9.101266557377047</v>
                </pt>
                <pt idx="24">
                  <v>9.141040396039603</v>
                </pt>
                <pt idx="25">
                  <v>9.140660891089107</v>
                </pt>
              </numCache>
            </numRef>
          </val>
        </ser>
        <ser>
          <idx val="9"/>
          <order val="9"/>
          <tx>
            <strRef>
              <f>Chart3!$A$165</f>
              <strCache>
                <ptCount val="1"/>
                <pt idx="0">
                  <v>CAD</v>
                </pt>
              </strCache>
            </strRef>
          </tx>
          <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Chart3!$B$121:$AO$122</f>
            </multiLvlStrRef>
          </cat>
          <val>
            <numRef>
              <f>Chart3!$B$165:$AO$165</f>
              <numCache>
                <formatCode>#,##0_ </formatCode>
                <ptCount val="40"/>
                <pt idx="14">
                  <v>12.22172606539934</v>
                </pt>
                <pt idx="15">
                  <v>14.33252414460715</v>
                </pt>
                <pt idx="16">
                  <v>13.79046698204522</v>
                </pt>
                <pt idx="17">
                  <v>11.75310225965727</v>
                </pt>
                <pt idx="18">
                  <v>3.832219033709325</v>
                </pt>
                <pt idx="19">
                  <v>5.381024865505835</v>
                </pt>
                <pt idx="20">
                  <v>25.33556001720389</v>
                </pt>
                <pt idx="21">
                  <v>24.64884958312925</v>
                </pt>
                <pt idx="22">
                  <v>24.33847714988291</v>
                </pt>
                <pt idx="23">
                  <v>18.8835837118635</v>
                </pt>
                <pt idx="24">
                  <v>18.81443347435846</v>
                </pt>
                <pt idx="25">
                  <v>18.43174265803193</v>
                </pt>
              </numCache>
            </numRef>
          </val>
        </ser>
        <ser>
          <idx val="10"/>
          <order val="10"/>
          <tx>
            <strRef>
              <f>Chart3!$A$163</f>
              <strCache>
                <ptCount val="1"/>
                <pt idx="0">
                  <v>Depreciation</v>
                </pt>
              </strCache>
            </strRef>
          </tx>
          <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Chart3!$B$121:$AO$122</f>
            </multiLvlStrRef>
          </cat>
          <val>
            <numRef>
              <f>Chart3!$B$163:$AO$163</f>
              <numCache>
                <formatCode>#,##0_ </formatCode>
                <ptCount val="40"/>
                <pt idx="14">
                  <v>1.22639</v>
                </pt>
                <pt idx="15">
                  <v>1.22631</v>
                </pt>
                <pt idx="16">
                  <v>1.22639</v>
                </pt>
                <pt idx="17">
                  <v>2.75939</v>
                </pt>
                <pt idx="18">
                  <v>0.3556836</v>
                </pt>
                <pt idx="19">
                  <v>0.3556836</v>
                </pt>
                <pt idx="20">
                  <v>0.3556836</v>
                </pt>
                <pt idx="21">
                  <v>0.3556836</v>
                </pt>
                <pt idx="22">
                  <v>0.3556836</v>
                </pt>
                <pt idx="23">
                  <v>0.5506835999999999</v>
                </pt>
                <pt idx="24">
                  <v>0.5506835999999999</v>
                </pt>
                <pt idx="25">
                  <v>0.5506835999999999</v>
                </pt>
              </numCache>
            </numRef>
          </val>
        </ser>
        <ser>
          <idx val="11"/>
          <order val="11"/>
          <tx>
            <strRef>
              <f>Chart3!$A$172</f>
              <strCache>
                <ptCount val="1"/>
                <pt idx="0">
                  <v>Profit</v>
                </pt>
              </strCache>
            </strRef>
          </tx>
          <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Chart3!$B$121:$AO$122</f>
            </multiLvlStrRef>
          </cat>
          <val>
            <numRef>
              <f>Chart3!$B$172:$AO$172</f>
              <numCache>
                <formatCode>#,##0_ </formatCode>
                <ptCount val="40"/>
                <pt idx="27">
                  <v>67.05680589125484</v>
                </pt>
                <pt idx="28">
                  <v>143.5779529778478</v>
                </pt>
                <pt idx="29">
                  <v>15.3398965213396</v>
                </pt>
                <pt idx="30">
                  <v>121.5276632512309</v>
                </pt>
                <pt idx="31">
                  <v>448.7049572364122</v>
                </pt>
                <pt idx="32">
                  <v>-132.6336315358342</v>
                </pt>
                <pt idx="33">
                  <v>50.50144460457182</v>
                </pt>
                <pt idx="34">
                  <v>-3.523427130254504</v>
                </pt>
                <pt idx="35">
                  <v>-124.5196013967225</v>
                </pt>
                <pt idx="36">
                  <v>16.99304197756805</v>
                </pt>
                <pt idx="37">
                  <v>24.18031235546687</v>
                </pt>
                <pt idx="38">
                  <v>-157.8656849077131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0"/>
        <overlap val="100"/>
        <axId val="109176320"/>
        <axId val="109177856"/>
      </barChart>
      <lineChart>
        <grouping val="standard"/>
        <varyColors val="0"/>
        <ser>
          <idx val="12"/>
          <order val="12"/>
          <tx>
            <strRef>
              <f>Chart3!$A$174</f>
              <strCache>
                <ptCount val="1"/>
                <pt idx="0">
                  <v>Total</v>
                </pt>
              </strCache>
            </strRef>
          </tx>
          <spPr>
            <a:ln w="28575">
              <a:noFill/>
              <a:prstDash val="solid"/>
            </a:ln>
          </spPr>
          <marker>
            <symbol val="dot"/>
            <size val="2"/>
            <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spPr>
          </marker>
          <dLbls>
            <dLbl>
              <idx val="0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4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5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6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7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8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9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0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1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2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4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5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6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7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8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9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2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3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4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5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7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8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9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2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3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4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5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6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7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8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b="1" lang="zh-CN" sz="1100">
                    <a:solidFill>
                      <a:srgbClr val="C00000"/>
                    </a:solidFill>
                  </a:defRPr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Chart3!$B$159:$AO$160</f>
            </multiLvlStrRef>
          </cat>
          <val>
            <numRef>
              <f>Chart3!$B$174:$AO$174</f>
              <numCache>
                <formatCode>_ * #,##0_ ;_ * \-#,##0_ ;_ * "-"??_ ;_ @_ </formatCode>
                <ptCount val="40"/>
                <pt idx="1">
                  <v>922.16529</v>
                </pt>
                <pt idx="2">
                  <v>912.57669</v>
                </pt>
                <pt idx="3">
                  <v>930.25426</v>
                </pt>
                <pt idx="4">
                  <v>997.1176199999999</v>
                </pt>
                <pt idx="5">
                  <v>953.8097625</v>
                </pt>
                <pt idx="6">
                  <v>972.7688250000001</v>
                </pt>
                <pt idx="7">
                  <v>1148.197575</v>
                </pt>
                <pt idx="8">
                  <v>1148.197575</v>
                </pt>
                <pt idx="9">
                  <v>1163.737575</v>
                </pt>
                <pt idx="10">
                  <v>1244.36445</v>
                </pt>
                <pt idx="11">
                  <v>1244.36445</v>
                </pt>
                <pt idx="12">
                  <v>1244.36445</v>
                </pt>
                <pt idx="14">
                  <v>855.1084841087452</v>
                </pt>
                <pt idx="15">
                  <v>768.9987370221522</v>
                </pt>
                <pt idx="16">
                  <v>914.9143634786604</v>
                </pt>
                <pt idx="17">
                  <v>875.5899567487689</v>
                </pt>
                <pt idx="18">
                  <v>505.1048052635879</v>
                </pt>
                <pt idx="19">
                  <v>1105.402456535834</v>
                </pt>
                <pt idx="20">
                  <v>1097.696130395428</v>
                </pt>
                <pt idx="21">
                  <v>1151.721002130254</v>
                </pt>
                <pt idx="22">
                  <v>1288.257176396722</v>
                </pt>
                <pt idx="23">
                  <v>1227.371408022432</v>
                </pt>
                <pt idx="24">
                  <v>1220.184137644533</v>
                </pt>
                <pt idx="25">
                  <v>1402.230134907713</v>
                </pt>
                <pt idx="27">
                  <v>67.05680589125484</v>
                </pt>
                <pt idx="28">
                  <v>143.5779529778478</v>
                </pt>
                <pt idx="29">
                  <v>15.3398965213396</v>
                </pt>
                <pt idx="30">
                  <v>121.5276632512309</v>
                </pt>
                <pt idx="31">
                  <v>448.7049572364122</v>
                </pt>
                <pt idx="32">
                  <v>-132.6336315358342</v>
                </pt>
                <pt idx="33">
                  <v>50.50144460457182</v>
                </pt>
                <pt idx="34">
                  <v>-3.523427130254504</v>
                </pt>
                <pt idx="35">
                  <v>-124.5196013967225</v>
                </pt>
                <pt idx="36">
                  <v>16.99304197756805</v>
                </pt>
                <pt idx="37">
                  <v>24.18031235546687</v>
                </pt>
                <pt idx="38">
                  <v>-157.8656849077131</v>
                </pt>
              </numCache>
            </numRef>
          </val>
          <smooth val="0"/>
        </ser>
        <ser>
          <idx val="13"/>
          <order val="13"/>
          <tx>
            <strRef>
              <f>Chart3!$A$173</f>
              <strCache>
                <ptCount val="1"/>
                <pt idx="0">
                  <v> PL% </v>
                </pt>
              </strCache>
            </strRef>
          </tx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dPt>
            <idx val="9"/>
            <bubble3D val="0"/>
            <spPr>
              <a:ln>
                <a:prstDash val="solid"/>
              </a:ln>
            </spPr>
          </dPt>
          <dLbls>
            <dLbl>
              <idx val="9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7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8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9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2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3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4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5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6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7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8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Chart3!$B$159:$AO$160</f>
            </multiLvlStrRef>
          </cat>
          <val>
            <numRef>
              <f>Chart3!$B$173:$AO$173</f>
              <numCache>
                <formatCode>#,##0_ </formatCode>
                <ptCount val="40"/>
                <pt idx="27">
                  <formatCode>0.00%</formatCode>
                  <v>0.072716688231949</v>
                </pt>
                <pt idx="28">
                  <formatCode>0.00%</formatCode>
                  <v>0.1573324790685238</v>
                </pt>
                <pt idx="29">
                  <formatCode>0.00%</formatCode>
                  <v>0.01649000405689042</v>
                </pt>
                <pt idx="30">
                  <formatCode>0.00%</formatCode>
                  <v>0.1218789647416229</v>
                </pt>
                <pt idx="31">
                  <formatCode>0.00%</formatCode>
                  <v>0.4704344355422889</v>
                </pt>
                <pt idx="32">
                  <formatCode>0.00%</formatCode>
                  <v>-0.1363465071321896</v>
                </pt>
                <pt idx="33">
                  <formatCode>0.00%</formatCode>
                  <v>0.04398323572889606</v>
                </pt>
                <pt idx="34">
                  <formatCode>0.00%</formatCode>
                  <v>-0.003068659268205216</v>
                </pt>
                <pt idx="35">
                  <formatCode>0.00%</formatCode>
                  <v>-0.1069997257729884</v>
                </pt>
                <pt idx="36">
                  <formatCode>0.00%</formatCode>
                  <v>0.01365600084249277</v>
                </pt>
                <pt idx="37">
                  <formatCode>0.00%</formatCode>
                  <v>0.01943185724685953</v>
                </pt>
                <pt idx="38">
                  <formatCode>0.00%</formatCode>
                  <v>-0.1268645089529142</v>
                </pt>
              </numCache>
            </numRef>
          </val>
          <smooth val="0"/>
        </ser>
        <dLbls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09176320"/>
        <axId val="109177856"/>
      </lineChart>
      <catAx>
        <axId val="1091763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zh-CN"/>
            </a:pPr>
            <a:r>
              <a:t/>
            </a:r>
            <a:endParaRPr lang="zh-CN"/>
          </a:p>
        </txPr>
        <crossAx val="109177856"/>
        <crosses val="autoZero"/>
        <auto val="1"/>
        <lblAlgn val="ctr"/>
        <lblOffset val="100"/>
        <tickLblSkip val="1"/>
        <tickMarkSkip val="1"/>
        <noMultiLvlLbl val="0"/>
      </catAx>
      <valAx>
        <axId val="109177856"/>
        <scaling>
          <orientation val="minMax"/>
        </scaling>
        <delete val="0"/>
        <axPos val="l"/>
        <majorGridlines>
          <spPr>
            <a:ln w="3175">
              <a:solidFill>
                <a:srgbClr val="C0C0C0"/>
              </a:solidFill>
              <a:prstDash val="sysDash"/>
            </a:ln>
          </spPr>
        </majorGridlines>
        <numFmt formatCode="#,##0_ " sourceLinked="1"/>
        <majorTickMark val="in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zh-CN"/>
            </a:pPr>
            <a:r>
              <a:t/>
            </a:r>
            <a:endParaRPr lang="zh-CN"/>
          </a:p>
        </txPr>
        <crossAx val="109176320"/>
        <crosses val="autoZero"/>
        <crossBetween val="between"/>
      </valAx>
    </plotArea>
    <legend>
      <legendPos val="b"/>
      <legendEntry>
        <idx val="0"/>
        <delete val="1"/>
      </legendEntry>
      <legendEntry>
        <idx val="11"/>
        <delete val="1"/>
      </legendEntry>
      <legendEntry>
        <idx val="12"/>
        <delete val="1"/>
      </legendEntry>
      <legendEntry>
        <idx val="13"/>
        <delete val="1"/>
      </legendEntry>
      <layout>
        <manualLayout>
          <xMode val="edge"/>
          <yMode val="edge"/>
          <x val="0.05739522480251463"/>
          <y val="0.9096330961789092"/>
          <w val="0.8333269080548782"/>
          <h val="0.0709327604718656"/>
        </manualLayout>
      </layout>
      <overlay val="0"/>
      <spPr>
        <a:ln>
          <a:solidFill>
            <a:srgbClr val="4F81BD"/>
          </a:solidFill>
          <a:prstDash val="solid"/>
        </a:ln>
      </spPr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altLang="zh-CN" b="1" baseline="0" i="0" lang="en-US" sz="1400">
                <effectLst/>
              </a:rPr>
              <a:t>12278 PL for 2017</a:t>
            </a:r>
            <a:endParaRPr altLang="zh-CN" lang="zh-CN" sz="1400">
              <effectLst/>
            </a:endParaRPr>
          </a:p>
        </rich>
      </tx>
      <overlay val="0"/>
    </title>
    <plotArea>
      <layout>
        <manualLayout>
          <layoutTarget val="inner"/>
          <xMode val="edge"/>
          <yMode val="edge"/>
          <x val="0.03112186281182647"/>
          <y val="0.08066499408792584"/>
          <w val="0.9374452868130915"/>
          <h val="0.7953584098848927"/>
        </manualLayout>
      </layout>
      <barChart>
        <barDir val="col"/>
        <grouping val="stacked"/>
        <varyColors val="0"/>
        <ser>
          <idx val="0"/>
          <order val="0"/>
          <tx>
            <strRef>
              <f>Chart3!$A$212</f>
              <strCache>
                <ptCount val="1"/>
                <pt idx="0">
                  <v>Revenue</v>
                </pt>
              </strCache>
            </strRef>
          </tx>
          <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Chart3!$B$121:$AO$122</f>
            </multiLvlStrRef>
          </cat>
          <val>
            <numRef>
              <f>Chart3!$B$212:$AO$212</f>
              <numCache>
                <formatCode>#,##0_ </formatCode>
                <ptCount val="40"/>
                <pt idx="1">
                  <v>0</v>
                </pt>
                <pt idx="2">
                  <v>80.236</v>
                </pt>
                <pt idx="3">
                  <v>357.877</v>
                </pt>
                <pt idx="4">
                  <v>207.475</v>
                </pt>
                <pt idx="5">
                  <v>199.6651666666667</v>
                </pt>
                <pt idx="6">
                  <v>210</v>
                </pt>
                <pt idx="7">
                  <v>210</v>
                </pt>
                <pt idx="8">
                  <v>210</v>
                </pt>
                <pt idx="9">
                  <v>210</v>
                </pt>
                <pt idx="10">
                  <v>210</v>
                </pt>
                <pt idx="11">
                  <v>210</v>
                </pt>
                <pt idx="12">
                  <v>210</v>
                </pt>
              </numCache>
            </numRef>
          </val>
        </ser>
        <ser>
          <idx val="1"/>
          <order val="1"/>
          <tx>
            <strRef>
              <f>Chart3!$A$202</f>
              <strCache>
                <ptCount val="1"/>
                <pt idx="0">
                  <v>Personnel</v>
                </pt>
              </strCache>
            </strRef>
          </tx>
          <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Chart3!$B$121:$AO$122</f>
            </multiLvlStrRef>
          </cat>
          <val>
            <numRef>
              <f>Chart3!$B$202:$AO$202</f>
              <numCache>
                <formatCode>#,##0_ </formatCode>
                <ptCount val="40"/>
                <pt idx="14">
                  <v>49.274923375</v>
                </pt>
                <pt idx="15">
                  <v>49.59770337499999</v>
                </pt>
                <pt idx="16">
                  <v>23.049418375</v>
                </pt>
                <pt idx="17">
                  <v>51.892353375</v>
                </pt>
                <pt idx="18">
                  <v>59.11307189999999</v>
                </pt>
                <pt idx="19">
                  <v>66.38765354999998</v>
                </pt>
                <pt idx="20">
                  <v>66.86307189999999</v>
                </pt>
                <pt idx="21">
                  <v>66.86307189999999</v>
                </pt>
                <pt idx="22">
                  <v>68.88846095000001</v>
                </pt>
                <pt idx="23">
                  <v>66.86307189999999</v>
                </pt>
                <pt idx="24">
                  <v>66.86307189999999</v>
                </pt>
                <pt idx="25">
                  <v>71.5531443</v>
                </pt>
              </numCache>
            </numRef>
          </val>
        </ser>
        <ser>
          <idx val="2"/>
          <order val="2"/>
          <tx>
            <strRef>
              <f>Chart3!$A$203</f>
              <strCache>
                <ptCount val="1"/>
                <pt idx="0">
                  <v>OS</v>
                </pt>
              </strCache>
            </strRef>
          </tx>
          <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Chart3!$B$121:$AO$122</f>
            </multiLvlStrRef>
          </cat>
          <val>
            <numRef>
              <f>Chart3!$B$203:$AO$203</f>
              <numCache>
                <formatCode>#,##0_ </formatCode>
                <ptCount val="40"/>
                <pt idx="14">
                  <v>25.842</v>
                </pt>
                <pt idx="15">
                  <v>48.656</v>
                </pt>
                <pt idx="16">
                  <v>101.395</v>
                </pt>
                <pt idx="17">
                  <v>91.818</v>
                </pt>
                <pt idx="18">
                  <v>0</v>
                </pt>
                <pt idx="19">
                  <v>78</v>
                </pt>
                <pt idx="20">
                  <v>78</v>
                </pt>
                <pt idx="21">
                  <v>78</v>
                </pt>
                <pt idx="22">
                  <v>78</v>
                </pt>
                <pt idx="23">
                  <v>78</v>
                </pt>
                <pt idx="24">
                  <v>78</v>
                </pt>
                <pt idx="25">
                  <v>78</v>
                </pt>
              </numCache>
            </numRef>
          </val>
        </ser>
        <ser>
          <idx val="3"/>
          <order val="3"/>
          <tx>
            <strRef>
              <f>Chart3!$A$205</f>
              <strCache>
                <ptCount val="1"/>
                <pt idx="0">
                  <v>Rental</v>
                </pt>
              </strCache>
            </strRef>
          </tx>
          <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Chart3!$B$121:$AO$122</f>
            </multiLvlStrRef>
          </cat>
          <val>
            <numRef>
              <f>Chart3!$B$205:$AO$205</f>
              <numCache>
                <formatCode>#,##0_ </formatCode>
                <ptCount val="40"/>
                <pt idx="14">
                  <v>0</v>
                </pt>
                <pt idx="15">
                  <v>0.5410260000000001</v>
                </pt>
                <pt idx="16">
                  <v>0.545688</v>
                </pt>
                <pt idx="17">
                  <v>0.545688</v>
                </pt>
                <pt idx="18">
                  <v>2.8125</v>
                </pt>
                <pt idx="19">
                  <v>3.75</v>
                </pt>
                <pt idx="20">
                  <v>4.25</v>
                </pt>
                <pt idx="21">
                  <v>4.25</v>
                </pt>
                <pt idx="22">
                  <v>4.25</v>
                </pt>
                <pt idx="23">
                  <v>4.25</v>
                </pt>
                <pt idx="24">
                  <v>4.25</v>
                </pt>
                <pt idx="25">
                  <v>4.25</v>
                </pt>
              </numCache>
            </numRef>
          </val>
        </ser>
        <ser>
          <idx val="4"/>
          <order val="4"/>
          <tx>
            <strRef>
              <f>Chart3!$A$207</f>
              <strCache>
                <ptCount val="1"/>
                <pt idx="0">
                  <v>IS (Infra+Service)</v>
                </pt>
              </strCache>
            </strRef>
          </tx>
          <spPr>
            <a:solidFill>
              <a:srgbClr val="4BACC6"/>
            </a:solidFill>
            <a:ln w="28575"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Chart3!$B$121:$AO$122</f>
            </multiLvlStrRef>
          </cat>
          <val>
            <numRef>
              <f>Chart3!$B$207:$AO$207</f>
              <numCache>
                <formatCode>#,##0_ </formatCode>
                <ptCount val="40"/>
                <pt idx="14">
                  <v>5.4465825</v>
                </pt>
                <pt idx="15">
                  <v>10.856465</v>
                </pt>
                <pt idx="16">
                  <v>9.951319583333333</v>
                </pt>
                <pt idx="17">
                  <v>11.6314125</v>
                </pt>
                <pt idx="18">
                  <v>14.72683179545455</v>
                </pt>
                <pt idx="19">
                  <v>16.199514975</v>
                </pt>
                <pt idx="20">
                  <v>11.571082125</v>
                </pt>
                <pt idx="21">
                  <v>11.571082125</v>
                </pt>
                <pt idx="22">
                  <v>11.571082125</v>
                </pt>
                <pt idx="23">
                  <v>11.571082125</v>
                </pt>
                <pt idx="24">
                  <v>16.199514975</v>
                </pt>
                <pt idx="25">
                  <v>16.199514975</v>
                </pt>
              </numCache>
            </numRef>
          </val>
        </ser>
        <ser>
          <idx val="5"/>
          <order val="5"/>
          <tx>
            <strRef>
              <f>Chart3!$A$208</f>
              <strCache>
                <ptCount val="1"/>
                <pt idx="0">
                  <v>Schina Allocation</v>
                </pt>
              </strCache>
            </strRef>
          </tx>
          <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Chart3!$B$121:$AO$122</f>
            </multiLvlStrRef>
          </cat>
          <val>
            <numRef>
              <f>Chart3!$B$208:$AO$208</f>
              <numCache>
                <formatCode>#,##0_ </formatCode>
                <ptCount val="40"/>
                <pt idx="14">
                  <v>7.309475439560442</v>
                </pt>
                <pt idx="15">
                  <v>6.735007374301676</v>
                </pt>
                <pt idx="16">
                  <v>28.66493934065934</v>
                </pt>
                <pt idx="17">
                  <v>8.630847500000005</v>
                </pt>
                <pt idx="18">
                  <v>7.938347375274725</v>
                </pt>
                <pt idx="19">
                  <v>52.29401369836958</v>
                </pt>
                <pt idx="20">
                  <v>12.77661127925532</v>
                </pt>
                <pt idx="21">
                  <v>12.96642668684211</v>
                </pt>
                <pt idx="22">
                  <v>47.34538837368422</v>
                </pt>
                <pt idx="23">
                  <v>13.29746104427083</v>
                </pt>
                <pt idx="24">
                  <v>11.03492719010417</v>
                </pt>
                <pt idx="25">
                  <v>48.473094484375</v>
                </pt>
              </numCache>
            </numRef>
          </val>
        </ser>
        <ser>
          <idx val="6"/>
          <order val="6"/>
          <tx>
            <strRef>
              <f>Chart3!$A$211</f>
              <strCache>
                <ptCount val="1"/>
                <pt idx="0">
                  <v>CSC Allocation</v>
                </pt>
              </strCache>
            </strRef>
          </tx>
          <spPr>
            <a:solidFill>
              <a:srgbClr val="00FFFF"/>
            </a:solidFill>
            <a:ln w="0">
              <a:solidFill>
                <a:sysClr lastClr="000000" val="windowText"/>
              </a:solidFill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Chart3!$B$121:$AO$122</f>
            </multiLvlStrRef>
          </cat>
          <val>
            <numRef>
              <f>Chart3!$B$211:$AO$211</f>
              <numCache>
                <formatCode>#,##0_ </formatCode>
                <ptCount val="40"/>
                <pt idx="14">
                  <v>11.02243325848524</v>
                </pt>
                <pt idx="15">
                  <v>26.59544877265291</v>
                </pt>
                <pt idx="16">
                  <v>29.65634268782895</v>
                </pt>
                <pt idx="17">
                  <v>39.65573100417089</v>
                </pt>
                <pt idx="18">
                  <v>46.16919664387856</v>
                </pt>
                <pt idx="19">
                  <v>56.90757356376811</v>
                </pt>
                <pt idx="20">
                  <v>41.42625313326235</v>
                </pt>
                <pt idx="21">
                  <v>42.75596175323577</v>
                </pt>
                <pt idx="22">
                  <v>52.23302196075494</v>
                </pt>
                <pt idx="23">
                  <v>42.7072010822241</v>
                </pt>
                <pt idx="24">
                  <v>53.64278816144959</v>
                </pt>
                <pt idx="25">
                  <v>65.20044237584528</v>
                </pt>
              </numCache>
            </numRef>
          </val>
        </ser>
        <ser>
          <idx val="7"/>
          <order val="7"/>
          <tx>
            <strRef>
              <f>Chart3!$A$209</f>
              <strCache>
                <ptCount val="1"/>
                <pt idx="0">
                  <v>Travelling </v>
                </pt>
              </strCache>
            </strRef>
          </tx>
          <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Chart3!$B$121:$AO$122</f>
            </multiLvlStrRef>
          </cat>
          <val>
            <numRef>
              <f>Chart3!$B$209:$AO$209</f>
              <numCache>
                <formatCode>#,##0_ </formatCode>
                <ptCount val="40"/>
                <pt idx="14">
                  <v>1.70487</v>
                </pt>
                <pt idx="15">
                  <v>5.729208000000001</v>
                </pt>
                <pt idx="16">
                  <v>5.087531999999999</v>
                </pt>
                <pt idx="17">
                  <v>2.034038999999999</v>
                </pt>
                <pt idx="18">
                  <v>1.5375</v>
                </pt>
                <pt idx="19">
                  <v>2.05</v>
                </pt>
                <pt idx="20">
                  <v>2.05</v>
                </pt>
                <pt idx="21">
                  <v>2.05</v>
                </pt>
                <pt idx="22">
                  <v>2.05</v>
                </pt>
                <pt idx="23">
                  <v>2.05</v>
                </pt>
                <pt idx="24">
                  <v>2.05</v>
                </pt>
                <pt idx="25">
                  <v>2.05</v>
                </pt>
              </numCache>
            </numRef>
          </val>
        </ser>
        <ser>
          <idx val="8"/>
          <order val="8"/>
          <tx>
            <strRef>
              <f>Chart3!$A$210</f>
              <strCache>
                <ptCount val="1"/>
                <pt idx="0">
                  <v>Other SGA</v>
                </pt>
              </strCache>
            </strRef>
          </tx>
          <spPr>
            <a:solidFill>
              <a:srgbClr val="CCCCFF"/>
            </a:solidFill>
            <a:ln w="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Chart3!$B$121:$AO$122</f>
            </multiLvlStrRef>
          </cat>
          <val>
            <numRef>
              <f>Chart3!$B$210:$AO$210</f>
              <numCache>
                <formatCode>#,##0_ </formatCode>
                <ptCount val="40"/>
                <pt idx="14">
                  <v>10.53732715037594</v>
                </pt>
                <pt idx="15">
                  <v>2.328578171641791</v>
                </pt>
                <pt idx="16">
                  <v>1.770331970149254</v>
                </pt>
                <pt idx="17">
                  <v>1.393608987220447</v>
                </pt>
                <pt idx="18">
                  <v>4.211351010383387</v>
                </pt>
                <pt idx="19">
                  <v>5.474205397553518</v>
                </pt>
                <pt idx="20">
                  <v>5.911372009345795</v>
                </pt>
                <pt idx="21">
                  <v>5.978581174603174</v>
                </pt>
                <pt idx="22">
                  <v>6.711920278688525</v>
                </pt>
                <pt idx="23">
                  <v>5.758379754098361</v>
                </pt>
                <pt idx="24">
                  <v>5.780602442244224</v>
                </pt>
                <pt idx="25">
                  <v>5.780512161716172</v>
                </pt>
              </numCache>
            </numRef>
          </val>
        </ser>
        <ser>
          <idx val="9"/>
          <order val="9"/>
          <tx>
            <strRef>
              <f>Chart3!$A$206</f>
              <strCache>
                <ptCount val="1"/>
                <pt idx="0">
                  <v>CAD</v>
                </pt>
              </strCache>
            </strRef>
          </tx>
          <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Chart3!$B$121:$AO$122</f>
            </multiLvlStrRef>
          </cat>
          <val>
            <numRef>
              <f>Chart3!$B$206:$AO$206</f>
              <numCache>
                <formatCode>#,##0_ </formatCode>
                <ptCount val="40"/>
                <pt idx="14">
                  <v>0.9684118295739348</v>
                </pt>
                <pt idx="15">
                  <v>2.141984291044776</v>
                </pt>
                <pt idx="16">
                  <v>2.694357462686567</v>
                </pt>
                <pt idx="17">
                  <v>3.18353600393217</v>
                </pt>
                <pt idx="18">
                  <v>4.389814952076677</v>
                </pt>
                <pt idx="19">
                  <v>4.668746449201495</v>
                </pt>
                <pt idx="20">
                  <v>3.626131805319914</v>
                </pt>
                <pt idx="21">
                  <v>3.695200982564102</v>
                </pt>
                <pt idx="22">
                  <v>3.822828418663303</v>
                </pt>
                <pt idx="23">
                  <v>3.487068215889029</v>
                </pt>
                <pt idx="24">
                  <v>5.070123020168683</v>
                </pt>
                <pt idx="25">
                  <v>5.070123020168683</v>
                </pt>
              </numCache>
            </numRef>
          </val>
        </ser>
        <ser>
          <idx val="10"/>
          <order val="10"/>
          <tx>
            <strRef>
              <f>Chart3!$A$204</f>
              <strCache>
                <ptCount val="1"/>
                <pt idx="0">
                  <v>Depreciation</v>
                </pt>
              </strCache>
            </strRef>
          </tx>
          <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lang="zh-CN"/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Chart3!$B$121:$AO$122</f>
            </multiLvlStrRef>
          </cat>
          <val>
            <numRef>
              <f>Chart3!$B$204:$AO$204</f>
              <numCache>
                <formatCode>#,##0_ </formatCode>
                <ptCount val="40"/>
                <pt idx="14">
                  <v>0.9574619999999999</v>
                </pt>
                <pt idx="15">
                  <v>0.9574380000000001</v>
                </pt>
                <pt idx="16">
                  <v>0.9574559999999999</v>
                </pt>
                <pt idx="17">
                  <v>0.9574590000000001</v>
                </pt>
                <pt idx="18">
                  <v>1.7841444</v>
                </pt>
                <pt idx="19">
                  <v>2.3788592</v>
                </pt>
                <pt idx="20">
                  <v>2.3788592</v>
                </pt>
                <pt idx="21">
                  <v>2.3788592</v>
                </pt>
                <pt idx="22">
                  <v>2.3788592</v>
                </pt>
                <pt idx="23">
                  <v>2.4763592</v>
                </pt>
                <pt idx="24">
                  <v>2.4313592</v>
                </pt>
                <pt idx="25">
                  <v>2.4313592</v>
                </pt>
              </numCache>
            </numRef>
          </val>
        </ser>
        <ser>
          <idx val="11"/>
          <order val="11"/>
          <tx>
            <strRef>
              <f>Chart3!$A$213</f>
              <strCache>
                <ptCount val="1"/>
                <pt idx="0">
                  <v>Profit</v>
                </pt>
              </strCache>
            </strRef>
          </tx>
          <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Chart3!$B$121:$AO$122</f>
            </multiLvlStrRef>
          </cat>
          <val>
            <numRef>
              <f>Chart3!$B$213:$AO$213</f>
              <numCache>
                <formatCode>#,##0_ </formatCode>
                <ptCount val="40"/>
                <pt idx="27">
                  <v>-113.0634855529956</v>
                </pt>
                <pt idx="28">
                  <v>-73.90285898464113</v>
                </pt>
                <pt idx="29">
                  <v>154.1046145803426</v>
                </pt>
                <pt idx="30">
                  <v>-4.267675370323587</v>
                </pt>
                <pt idx="31">
                  <v>56.98240858959878</v>
                </pt>
                <pt idx="32">
                  <v>-78.11056683389268</v>
                </pt>
                <pt idx="33">
                  <v>-18.85338145218338</v>
                </pt>
                <pt idx="34">
                  <v>-20.50918382224515</v>
                </pt>
                <pt idx="35">
                  <v>-67.25156130679102</v>
                </pt>
                <pt idx="36">
                  <v>-20.46062332148233</v>
                </pt>
                <pt idx="37">
                  <v>-35.32238688896666</v>
                </pt>
                <pt idx="38">
                  <v>-89.00819051710516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0"/>
        <overlap val="100"/>
        <axId val="109697664"/>
        <axId val="109748608"/>
      </barChart>
      <lineChart>
        <grouping val="standard"/>
        <varyColors val="0"/>
        <ser>
          <idx val="12"/>
          <order val="12"/>
          <tx>
            <strRef>
              <f>Chart3!$A$215</f>
              <strCache>
                <ptCount val="1"/>
                <pt idx="0">
                  <v>Total</v>
                </pt>
              </strCache>
            </strRef>
          </tx>
          <spPr>
            <a:ln w="28575">
              <a:noFill/>
              <a:prstDash val="solid"/>
            </a:ln>
          </spPr>
          <marker>
            <symbol val="dot"/>
            <size val="2"/>
            <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spPr>
          </marker>
          <dLbls>
            <dLbl>
              <idx val="0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4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5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6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7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8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9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0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1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2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4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5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6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7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8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9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2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3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4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5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7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8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9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2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3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4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5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6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7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8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 w="25400">
                <a:noFill/>
                <a:prstDash val="solid"/>
              </a:ln>
            </spPr>
            <txPr>
              <a:bodyPr/>
              <a:lstStyle/>
              <a:p>
                <a:pPr>
                  <a:defRPr b="1" lang="zh-CN" sz="1100">
                    <a:solidFill>
                      <a:srgbClr val="C00000"/>
                    </a:solidFill>
                  </a:defRPr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Chart3!$B$200:$AO$201</f>
            </multiLvlStrRef>
          </cat>
          <val>
            <numRef>
              <f>Chart3!$B$215:$AO$215</f>
              <numCache>
                <formatCode>_ * #,##0_ ;_ * \-#,##0_ ;_ * "-"??_ ;_ @_ </formatCode>
                <ptCount val="40"/>
                <pt idx="1">
                  <v>0</v>
                </pt>
                <pt idx="2">
                  <v>80.236</v>
                </pt>
                <pt idx="3">
                  <v>357.877</v>
                </pt>
                <pt idx="4">
                  <v>207.475</v>
                </pt>
                <pt idx="5">
                  <v>199.6651666666667</v>
                </pt>
                <pt idx="6">
                  <v>210</v>
                </pt>
                <pt idx="7">
                  <v>210</v>
                </pt>
                <pt idx="8">
                  <v>210</v>
                </pt>
                <pt idx="9">
                  <v>210</v>
                </pt>
                <pt idx="10">
                  <v>210</v>
                </pt>
                <pt idx="11">
                  <v>210</v>
                </pt>
                <pt idx="12">
                  <v>210</v>
                </pt>
                <pt idx="14">
                  <v>113.0634855529956</v>
                </pt>
                <pt idx="15">
                  <v>154.1388589846411</v>
                </pt>
                <pt idx="16">
                  <v>203.7723854196574</v>
                </pt>
                <pt idx="17">
                  <v>211.7426753703236</v>
                </pt>
                <pt idx="18">
                  <v>142.6827580770679</v>
                </pt>
                <pt idx="19">
                  <v>288.1105668338927</v>
                </pt>
                <pt idx="20">
                  <v>228.8533814521834</v>
                </pt>
                <pt idx="21">
                  <v>230.5091838222451</v>
                </pt>
                <pt idx="22">
                  <v>277.251561306791</v>
                </pt>
                <pt idx="23">
                  <v>230.4606233214823</v>
                </pt>
                <pt idx="24">
                  <v>245.3223868889667</v>
                </pt>
                <pt idx="25">
                  <v>299.0081905171052</v>
                </pt>
                <pt idx="27">
                  <v>-113.0634855529956</v>
                </pt>
                <pt idx="28">
                  <v>-73.90285898464113</v>
                </pt>
                <pt idx="29">
                  <v>154.1046145803426</v>
                </pt>
                <pt idx="30">
                  <v>-4.267675370323587</v>
                </pt>
                <pt idx="31">
                  <v>56.98240858959878</v>
                </pt>
                <pt idx="32">
                  <v>-78.11056683389268</v>
                </pt>
                <pt idx="33">
                  <v>-18.85338145218338</v>
                </pt>
                <pt idx="34">
                  <v>-20.50918382224515</v>
                </pt>
                <pt idx="35">
                  <v>-67.25156130679102</v>
                </pt>
                <pt idx="36">
                  <v>-20.46062332148233</v>
                </pt>
                <pt idx="37">
                  <v>-35.32238688896666</v>
                </pt>
                <pt idx="38">
                  <v>-89.00819051710516</v>
                </pt>
              </numCache>
            </numRef>
          </val>
          <smooth val="0"/>
        </ser>
        <ser>
          <idx val="13"/>
          <order val="13"/>
          <tx>
            <strRef>
              <f>Chart3!$A$214</f>
              <strCache>
                <ptCount val="1"/>
                <pt idx="0">
                  <v> PL% </v>
                </pt>
              </strCache>
            </strRef>
          </tx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dPt>
            <idx val="9"/>
            <bubble3D val="0"/>
            <spPr>
              <a:ln>
                <a:prstDash val="solid"/>
              </a:ln>
            </spPr>
          </dPt>
          <dLbls>
            <dLbl>
              <idx val="9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7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8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9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2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3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4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5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6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7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8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1">
                    <v>Apr</v>
                  </pt>
                  <pt idx="2">
                    <v>May</v>
                  </pt>
                  <pt idx="3">
                    <v>Jun</v>
                  </pt>
                  <pt idx="4">
                    <v>Jul</v>
                  </pt>
                  <pt idx="5">
                    <v>Aug</v>
                  </pt>
                  <pt idx="6">
                    <v>Sep</v>
                  </pt>
                  <pt idx="7">
                    <v>Oct</v>
                  </pt>
                  <pt idx="8">
                    <v>Nov</v>
                  </pt>
                  <pt idx="9">
                    <v>Dec</v>
                  </pt>
                  <pt idx="10">
                    <v>Jan</v>
                  </pt>
                  <pt idx="11">
                    <v>Feb</v>
                  </pt>
                  <pt idx="12">
                    <v>Mar</v>
                  </pt>
                  <pt idx="14">
                    <v>Apr</v>
                  </pt>
                  <pt idx="15">
                    <v>May</v>
                  </pt>
                  <pt idx="16">
                    <v>Jun</v>
                  </pt>
                  <pt idx="17">
                    <v>Jul</v>
                  </pt>
                  <pt idx="18">
                    <v>Aug</v>
                  </pt>
                  <pt idx="19">
                    <v>Sep</v>
                  </pt>
                  <pt idx="20">
                    <v>Oct</v>
                  </pt>
                  <pt idx="21">
                    <v>Nov</v>
                  </pt>
                  <pt idx="22">
                    <v>Dec</v>
                  </pt>
                  <pt idx="23">
                    <v>Jan</v>
                  </pt>
                  <pt idx="24">
                    <v>Feb</v>
                  </pt>
                  <pt idx="25">
                    <v>Mar</v>
                  </pt>
                  <pt idx="27">
                    <v>Apr</v>
                  </pt>
                  <pt idx="28">
                    <v>May</v>
                  </pt>
                  <pt idx="29">
                    <v>Jun</v>
                  </pt>
                  <pt idx="30">
                    <v>Jul</v>
                  </pt>
                  <pt idx="31">
                    <v>Aug</v>
                  </pt>
                  <pt idx="32">
                    <v>Sep</v>
                  </pt>
                  <pt idx="33">
                    <v>Oct</v>
                  </pt>
                  <pt idx="34">
                    <v>Nov</v>
                  </pt>
                  <pt idx="35">
                    <v>Dec</v>
                  </pt>
                  <pt idx="36">
                    <v>Jan</v>
                  </pt>
                  <pt idx="37">
                    <v>Feb</v>
                  </pt>
                  <pt idx="38">
                    <v>Mar</v>
                  </pt>
                </lvl>
                <lvl>
                  <pt idx="1">
                    <v>Revenue</v>
                  </pt>
                  <pt idx="14">
                    <v>Cost</v>
                  </pt>
                  <pt idx="27">
                    <v>Profit</v>
                  </pt>
                </lvl>
              </multiLvlStrCache>
              <f>Chart3!$B$200:$AO$201</f>
            </multiLvlStrRef>
          </cat>
          <val>
            <numRef>
              <f>Chart3!$B$214:$AO$214</f>
              <numCache>
                <formatCode>#,##0_ </formatCode>
                <ptCount val="40"/>
                <pt idx="27">
                  <formatCode>0.00%</formatCode>
                  <v>0</v>
                </pt>
                <pt idx="28">
                  <formatCode>0.00%</formatCode>
                  <v>-0.9210685849823163</v>
                </pt>
                <pt idx="29">
                  <formatCode>0.00%</formatCode>
                  <v>0.4306077635062956</v>
                </pt>
                <pt idx="30">
                  <formatCode>0.00%</formatCode>
                  <v>-0.02056958848209947</v>
                </pt>
                <pt idx="31">
                  <formatCode>0.00%</formatCode>
                  <v>0.2853898330935647</v>
                </pt>
                <pt idx="32">
                  <formatCode>0.00%</formatCode>
                  <v>-0.3719550801613937</v>
                </pt>
                <pt idx="33">
                  <formatCode>0.00%</formatCode>
                  <v>-0.08977800691515897</v>
                </pt>
                <pt idx="34">
                  <formatCode>0.00%</formatCode>
                  <v>-0.09766278010592928</v>
                </pt>
                <pt idx="35">
                  <formatCode>0.00%</formatCode>
                  <v>-0.3202455300323382</v>
                </pt>
                <pt idx="36">
                  <formatCode>0.00%</formatCode>
                  <v>-0.09743153962610633</v>
                </pt>
                <pt idx="37">
                  <formatCode>0.00%</formatCode>
                  <v>-0.1682018423284127</v>
                </pt>
                <pt idx="38">
                  <formatCode>0.00%</formatCode>
                  <v>-0.4238485262719294</v>
                </pt>
              </numCache>
            </numRef>
          </val>
          <smooth val="0"/>
        </ser>
        <dLbls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09697664"/>
        <axId val="109748608"/>
      </lineChart>
      <catAx>
        <axId val="10969766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zh-CN"/>
            </a:pPr>
            <a:r>
              <a:t/>
            </a:r>
            <a:endParaRPr lang="zh-CN"/>
          </a:p>
        </txPr>
        <crossAx val="109748608"/>
        <crosses val="autoZero"/>
        <auto val="1"/>
        <lblAlgn val="ctr"/>
        <lblOffset val="100"/>
        <tickLblSkip val="1"/>
        <tickMarkSkip val="1"/>
        <noMultiLvlLbl val="0"/>
      </catAx>
      <valAx>
        <axId val="109748608"/>
        <scaling>
          <orientation val="minMax"/>
        </scaling>
        <delete val="0"/>
        <axPos val="l"/>
        <majorGridlines>
          <spPr>
            <a:ln w="3175">
              <a:solidFill>
                <a:srgbClr val="C0C0C0"/>
              </a:solidFill>
              <a:prstDash val="sysDash"/>
            </a:ln>
          </spPr>
        </majorGridlines>
        <numFmt formatCode="#,##0_ " sourceLinked="1"/>
        <majorTickMark val="in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zh-CN"/>
            </a:pPr>
            <a:r>
              <a:t/>
            </a:r>
            <a:endParaRPr lang="zh-CN"/>
          </a:p>
        </txPr>
        <crossAx val="109697664"/>
        <crosses val="autoZero"/>
        <crossBetween val="between"/>
      </valAx>
    </plotArea>
    <legend>
      <legendPos val="b"/>
      <legendEntry>
        <idx val="0"/>
        <delete val="1"/>
      </legendEntry>
      <legendEntry>
        <idx val="11"/>
        <delete val="1"/>
      </legendEntry>
      <legendEntry>
        <idx val="12"/>
        <delete val="1"/>
      </legendEntry>
      <legendEntry>
        <idx val="13"/>
        <delete val="1"/>
      </legendEntry>
      <layout>
        <manualLayout>
          <xMode val="edge"/>
          <yMode val="edge"/>
          <x val="0.05739522480251463"/>
          <y val="0.9096330961789092"/>
          <w val="0.8333269080548782"/>
          <h val="0.0709327604718656"/>
        </manualLayout>
      </layout>
      <overlay val="0"/>
      <spPr>
        <a:ln>
          <a:solidFill>
            <a:srgbClr val="4F81BD"/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b="1" sz="1400">
                <a:latin typeface="+mn-lt"/>
              </a:defRPr>
            </a:pPr>
            <a:r>
              <a:rPr altLang="zh-CN" b="1" lang="en-US" sz="1400">
                <a:latin typeface="+mn-lt"/>
              </a:rPr>
              <a:t>SQA</a:t>
            </a:r>
            <a:r>
              <a:rPr altLang="zh-CN" b="1" baseline="0" lang="en-US" sz="1400">
                <a:latin typeface="+mn-lt"/>
              </a:rPr>
              <a:t> PJ May. PL Chart </a:t>
            </a:r>
            <a:endParaRPr altLang="en-US" b="1" lang="zh-CN" sz="1400">
              <a:latin typeface="+mn-lt"/>
            </a:endParaRPr>
          </a:p>
        </rich>
      </tx>
      <overlay val="1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x val="0.1426204631472571"/>
          <y val="0.1587661606104341"/>
          <w val="0.7081271833009162"/>
          <h val="0.7290169355280706"/>
        </manualLayout>
      </layout>
      <barChart>
        <barDir val="col"/>
        <grouping val="stacked"/>
        <varyColors val="0"/>
        <ser>
          <idx val="0"/>
          <order val="0"/>
          <spPr>
            <a:noFill/>
            <a:ln w="25400">
              <a:noFill/>
              <a:prstDash val="solid"/>
            </a:ln>
          </spPr>
          <invertIfNegative val="0"/>
          <cat>
            <strRef>
              <f>Chart!$I$3:$I$8</f>
              <strCache>
                <ptCount val="6"/>
                <pt idx="0">
                  <v>Red</v>
                </pt>
                <pt idx="1">
                  <v>Lyon</v>
                </pt>
                <pt idx="2">
                  <v>PFX</v>
                </pt>
                <pt idx="3">
                  <v>LSI</v>
                </pt>
                <pt idx="4">
                  <v>Gloria</v>
                </pt>
                <pt idx="5">
                  <v>MBT</v>
                </pt>
              </strCache>
            </strRef>
          </cat>
          <val>
            <numRef>
              <f>Chart!$M$3:$M$8</f>
              <numCache>
                <formatCode>#,##0</formatCode>
                <ptCount val="6"/>
                <pt idx="0">
                  <v>-63.4302970179674</v>
                </pt>
                <pt idx="1">
                  <v>-63.4302970179674</v>
                </pt>
                <pt idx="2">
                  <v>-100.8112865810212</v>
                </pt>
                <pt idx="3">
                  <v>-100.8112865810212</v>
                </pt>
                <pt idx="4">
                  <v>30.44914960578173</v>
                </pt>
                <pt idx="5">
                  <v>1.610860006104588</v>
                </pt>
              </numCache>
            </numRef>
          </val>
        </ser>
        <ser>
          <idx val="1"/>
          <order val="1"/>
          <spPr>
            <a:ln>
              <a:solidFill>
                <a:srgbClr val="000000"/>
              </a:solidFill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chemeClr val="bg2">
                  <a:lumMod val="75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Pt>
            <idx val="5"/>
            <invertIfNegative val="0"/>
            <bubble3D val="0"/>
            <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Chart!$I$3:$I$8</f>
              <strCache>
                <ptCount val="6"/>
                <pt idx="0">
                  <v>Red</v>
                </pt>
                <pt idx="1">
                  <v>Lyon</v>
                </pt>
                <pt idx="2">
                  <v>PFX</v>
                </pt>
                <pt idx="3">
                  <v>LSI</v>
                </pt>
                <pt idx="4">
                  <v>Gloria</v>
                </pt>
                <pt idx="5">
                  <v>MBT</v>
                </pt>
              </strCache>
            </strRef>
          </cat>
          <val>
            <numRef>
              <f>Chart!$N$3:$N$8</f>
              <numCache>
                <formatCode>#,##0</formatCode>
                <ptCount val="6"/>
                <pt idx="0">
                  <v>63.4302970179674</v>
                </pt>
                <pt idx="1">
                  <v>0</v>
                </pt>
                <pt idx="2">
                  <v>41.36160631734451</v>
                </pt>
                <pt idx="3">
                  <v>0</v>
                </pt>
                <pt idx="4">
                  <v>0</v>
                </pt>
                <pt idx="5">
                  <v>83.83649459015264</v>
                </pt>
              </numCache>
            </numRef>
          </val>
        </ser>
        <ser>
          <idx val="2"/>
          <order val="2"/>
          <spPr>
            <a:solidFill>
              <a:schemeClr val="accent1">
                <a:lumMod val="40000"/>
                <a:lumOff val="60000"/>
              </a:schemeClr>
            </a:solidFill>
            <a:ln>
              <a:solidFill>
                <a:srgbClr val="000000"/>
              </a:solidFill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Chart!$I$3:$I$8</f>
              <strCache>
                <ptCount val="6"/>
                <pt idx="0">
                  <v>Red</v>
                </pt>
                <pt idx="1">
                  <v>Lyon</v>
                </pt>
                <pt idx="2">
                  <v>PFX</v>
                </pt>
                <pt idx="3">
                  <v>LSI</v>
                </pt>
                <pt idx="4">
                  <v>Gloria</v>
                </pt>
                <pt idx="5">
                  <v>MBT</v>
                </pt>
              </strCache>
            </strRef>
          </cat>
          <val>
            <numRef>
              <f>Chart!$O$3:$O$8</f>
              <numCache>
                <formatCode>0_);[Red]\(0\)</formatCode>
                <ptCount val="6"/>
                <pt idx="0">
                  <v>0</v>
                </pt>
                <pt idx="1">
                  <v>3.980616754290679</v>
                </pt>
                <pt idx="2">
                  <v>0</v>
                </pt>
                <pt idx="3">
                  <v>131.260436186803</v>
                </pt>
                <pt idx="4">
                  <v>54.9982049904755</v>
                </pt>
                <pt idx="5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8"/>
        <overlap val="100"/>
        <axId val="87779200"/>
        <axId val="87780736"/>
      </barChart>
      <catAx>
        <axId val="87779200"/>
        <scaling>
          <orientation val="minMax"/>
        </scaling>
        <delete val="0"/>
        <axPos val="b"/>
        <numFmt formatCode="General" sourceLinked="1"/>
        <majorTickMark val="in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+mn-lt"/>
                <a:ea typeface="宋体"/>
                <a:cs typeface="宋体"/>
              </a:defRPr>
            </a:pPr>
            <a:r>
              <a:t/>
            </a:r>
            <a:endParaRPr lang="zh-CN"/>
          </a:p>
        </txPr>
        <crossAx val="87780736"/>
        <auto val="1"/>
        <lblAlgn val="ctr"/>
        <lblOffset val="100"/>
        <tickLblSkip val="1"/>
        <tickMarkSkip val="1"/>
        <noMultiLvlLbl val="0"/>
      </catAx>
      <valAx>
        <axId val="87780736"/>
        <scaling>
          <orientation val="minMax"/>
          <min val="0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#,##0" sourceLinked="1"/>
        <majorTickMark val="in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+mn-lt"/>
                <a:ea typeface="宋体"/>
                <a:cs typeface="宋体"/>
              </a:defRPr>
            </a:pPr>
            <a:r>
              <a:t/>
            </a:r>
            <a:endParaRPr lang="zh-CN"/>
          </a:p>
        </txPr>
        <crossAx val="87779200"/>
        <crosses val="autoZero"/>
        <crossBetween val="between"/>
        <majorUnit val="10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b="1" sz="1400">
                <a:latin typeface="+mn-lt"/>
              </a:defRPr>
            </a:pPr>
            <a:r>
              <a:rPr altLang="zh-CN" b="1" lang="en-US" sz="1400">
                <a:latin typeface="+mn-lt"/>
              </a:rPr>
              <a:t>SQA</a:t>
            </a:r>
            <a:r>
              <a:rPr altLang="zh-CN" b="1" baseline="0" lang="en-US" sz="1400">
                <a:latin typeface="+mn-lt"/>
              </a:rPr>
              <a:t> PJ Jun. PL Chart </a:t>
            </a:r>
            <a:endParaRPr altLang="en-US" b="1" lang="zh-CN" sz="1400">
              <a:latin typeface="+mn-lt"/>
            </a:endParaRPr>
          </a:p>
        </rich>
      </tx>
      <overlay val="1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x val="0.1426204631472571"/>
          <y val="0.1587661606104341"/>
          <w val="0.7081271833009162"/>
          <h val="0.7290169355280706"/>
        </manualLayout>
      </layout>
      <barChart>
        <barDir val="col"/>
        <grouping val="stacked"/>
        <varyColors val="0"/>
        <ser>
          <idx val="0"/>
          <order val="0"/>
          <spPr>
            <a:noFill/>
            <a:ln w="25400">
              <a:noFill/>
              <a:prstDash val="solid"/>
            </a:ln>
          </spPr>
          <invertIfNegative val="0"/>
          <cat>
            <strRef>
              <f>Chart!$Q$3:$Q$8</f>
              <strCache>
                <ptCount val="6"/>
                <pt idx="0">
                  <v>Red</v>
                </pt>
                <pt idx="1">
                  <v>Lyon</v>
                </pt>
                <pt idx="2">
                  <v>PFX</v>
                </pt>
                <pt idx="3">
                  <v>LSI</v>
                </pt>
                <pt idx="4">
                  <v>Gloria</v>
                </pt>
                <pt idx="5">
                  <v>MBT</v>
                </pt>
              </strCache>
            </strRef>
          </cat>
          <val>
            <numRef>
              <f>Chart!$U$3:$U$8</f>
              <numCache>
                <formatCode>#,##0</formatCode>
                <ptCount val="6"/>
                <pt idx="0">
                  <v>0</v>
                </pt>
                <pt idx="1">
                  <v>-69.00652219928517</v>
                </pt>
                <pt idx="2">
                  <v>-121.4972291730888</v>
                </pt>
                <pt idx="3">
                  <v>-122.0777804129432</v>
                </pt>
                <pt idx="4">
                  <v>-122.0777804129432</v>
                </pt>
                <pt idx="5">
                  <v>-96.86648889617501</v>
                </pt>
              </numCache>
            </numRef>
          </val>
        </ser>
        <ser>
          <idx val="1"/>
          <order val="1"/>
          <spPr>
            <a:ln>
              <a:solidFill>
                <a:srgbClr val="000000"/>
              </a:solidFill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chemeClr val="bg2">
                  <a:lumMod val="75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Pt>
            <idx val="5"/>
            <invertIfNegative val="0"/>
            <bubble3D val="0"/>
            <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Chart!$Q$3:$Q$8</f>
              <strCache>
                <ptCount val="6"/>
                <pt idx="0">
                  <v>Red</v>
                </pt>
                <pt idx="1">
                  <v>Lyon</v>
                </pt>
                <pt idx="2">
                  <v>PFX</v>
                </pt>
                <pt idx="3">
                  <v>LSI</v>
                </pt>
                <pt idx="4">
                  <v>Gloria</v>
                </pt>
                <pt idx="5">
                  <v>MBT</v>
                </pt>
              </strCache>
            </strRef>
          </cat>
          <val>
            <numRef>
              <f>Chart!$V$3:$V$8</f>
              <numCache>
                <formatCode>#,##0</formatCode>
                <ptCount val="6"/>
                <pt idx="0">
                  <v>0</v>
                </pt>
                <pt idx="1">
                  <v>130.0201872880227</v>
                </pt>
                <pt idx="2">
                  <v>52.49070697380365</v>
                </pt>
                <pt idx="3">
                  <v>0.5805512398543442</v>
                </pt>
                <pt idx="4">
                  <v>0</v>
                </pt>
                <pt idx="5">
                  <v>0</v>
                </pt>
              </numCache>
            </numRef>
          </val>
        </ser>
        <ser>
          <idx val="2"/>
          <order val="2"/>
          <spPr>
            <a:solidFill>
              <a:schemeClr val="accent1">
                <a:lumMod val="40000"/>
                <a:lumOff val="60000"/>
              </a:schemeClr>
            </a:solidFill>
            <a:ln>
              <a:solidFill>
                <a:srgbClr val="000000"/>
              </a:solidFill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Chart!$Q$3:$Q$8</f>
              <strCache>
                <ptCount val="6"/>
                <pt idx="0">
                  <v>Red</v>
                </pt>
                <pt idx="1">
                  <v>Lyon</v>
                </pt>
                <pt idx="2">
                  <v>PFX</v>
                </pt>
                <pt idx="3">
                  <v>LSI</v>
                </pt>
                <pt idx="4">
                  <v>Gloria</v>
                </pt>
                <pt idx="5">
                  <v>MBT</v>
                </pt>
              </strCache>
            </strRef>
          </cat>
          <val>
            <numRef>
              <f>Chart!$W$3:$W$8</f>
              <numCache>
                <formatCode>#,##0</formatCode>
                <ptCount val="6"/>
                <pt idx="0">
                  <v>61.01366508873753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25.21129151676817</v>
                </pt>
                <pt idx="5">
                  <v>142.5579333366854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8"/>
        <overlap val="100"/>
        <axId val="88139264"/>
        <axId val="88140800"/>
      </barChart>
      <catAx>
        <axId val="88139264"/>
        <scaling>
          <orientation val="minMax"/>
        </scaling>
        <delete val="0"/>
        <axPos val="b"/>
        <numFmt formatCode="General" sourceLinked="1"/>
        <majorTickMark val="in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+mn-lt"/>
                <a:ea typeface="宋体"/>
                <a:cs typeface="宋体"/>
              </a:defRPr>
            </a:pPr>
            <a:r>
              <a:t/>
            </a:r>
            <a:endParaRPr lang="zh-CN"/>
          </a:p>
        </txPr>
        <crossAx val="88140800"/>
        <auto val="1"/>
        <lblAlgn val="ctr"/>
        <lblOffset val="100"/>
        <tickLblSkip val="1"/>
        <tickMarkSkip val="1"/>
        <noMultiLvlLbl val="0"/>
      </catAx>
      <valAx>
        <axId val="88140800"/>
        <scaling>
          <orientation val="minMax"/>
          <min val="0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#,##0" sourceLinked="1"/>
        <majorTickMark val="in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+mn-lt"/>
                <a:ea typeface="宋体"/>
                <a:cs typeface="宋体"/>
              </a:defRPr>
            </a:pPr>
            <a:r>
              <a:t/>
            </a:r>
            <a:endParaRPr lang="zh-CN"/>
          </a:p>
        </txPr>
        <crossAx val="88139264"/>
        <crosses val="autoZero"/>
        <crossBetween val="between"/>
        <majorUnit val="10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b="1" sz="1400">
                <a:latin typeface="+mn-lt"/>
              </a:defRPr>
            </a:pPr>
            <a:r>
              <a:rPr altLang="zh-CN" b="1" lang="en-US" sz="1400">
                <a:latin typeface="+mn-lt"/>
              </a:rPr>
              <a:t>SQA</a:t>
            </a:r>
            <a:r>
              <a:rPr altLang="zh-CN" b="1" baseline="0" lang="en-US" sz="1400">
                <a:latin typeface="+mn-lt"/>
              </a:rPr>
              <a:t> PJ JuL. PL Chart </a:t>
            </a:r>
            <a:endParaRPr altLang="en-US" b="1" lang="zh-CN" sz="1400">
              <a:latin typeface="+mn-lt"/>
            </a:endParaRPr>
          </a:p>
        </rich>
      </tx>
      <overlay val="1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x val="0.1426204631472571"/>
          <y val="0.1587661606104341"/>
          <w val="0.7081271833009162"/>
          <h val="0.7290169355280706"/>
        </manualLayout>
      </layout>
      <barChart>
        <barDir val="col"/>
        <grouping val="stacked"/>
        <varyColors val="0"/>
        <ser>
          <idx val="0"/>
          <order val="0"/>
          <spPr>
            <a:noFill/>
            <a:ln w="25400">
              <a:noFill/>
              <a:prstDash val="solid"/>
            </a:ln>
          </spPr>
          <invertIfNegative val="0"/>
          <cat>
            <strRef>
              <f>Chart!$Y$3:$Y$8</f>
              <strCache>
                <ptCount val="6"/>
                <pt idx="0">
                  <v>Red</v>
                </pt>
                <pt idx="1">
                  <v>Lyon</v>
                </pt>
                <pt idx="2">
                  <v>PFX</v>
                </pt>
                <pt idx="3">
                  <v>LSI</v>
                </pt>
                <pt idx="4">
                  <v>Gloria</v>
                </pt>
                <pt idx="5">
                  <v>MBT</v>
                </pt>
              </strCache>
            </strRef>
          </cat>
          <val>
            <numRef>
              <f>Chart!$AC$3:$AC$8</f>
              <numCache>
                <formatCode>#,##0</formatCode>
                <ptCount val="6"/>
                <pt idx="0">
                  <v>-38.37942021059098</v>
                </pt>
                <pt idx="1">
                  <v>-359.1548294481984</v>
                </pt>
                <pt idx="2">
                  <v>-394.2409689024584</v>
                </pt>
                <pt idx="3">
                  <v>-394.2409689024584</v>
                </pt>
                <pt idx="4">
                  <v>-286.2713198365312</v>
                </pt>
                <pt idx="5">
                  <v>-258.9960004461357</v>
                </pt>
              </numCache>
            </numRef>
          </val>
        </ser>
        <ser>
          <idx val="1"/>
          <order val="1"/>
          <spPr>
            <a:solidFill>
              <a:schemeClr val="accent6">
                <a:lumMod val="40000"/>
                <a:lumOff val="60000"/>
              </a:schemeClr>
            </a:solidFill>
            <a:ln>
              <a:solidFill>
                <a:srgbClr val="000000"/>
              </a:solidFill>
              <a:prstDash val="solid"/>
            </a:ln>
          </spPr>
          <invertIfNegative val="0"/>
          <dPt>
            <idx val="0"/>
            <invertIfNegative val="0"/>
            <bubble3D val="0"/>
            <spPr>
              <a:ln>
                <a:prstDash val="solid"/>
              </a:ln>
            </spPr>
          </dPt>
          <dPt>
            <idx val="3"/>
            <invertIfNegative val="0"/>
            <bubble3D val="0"/>
            <spPr>
              <a:ln>
                <a:prstDash val="solid"/>
              </a:ln>
            </spPr>
          </dPt>
          <dPt>
            <idx val="4"/>
            <invertIfNegative val="0"/>
            <bubble3D val="0"/>
            <spPr>
              <a:ln>
                <a:prstDash val="solid"/>
              </a:ln>
            </spPr>
          </dPt>
          <dPt>
            <idx val="5"/>
            <invertIfNegative val="0"/>
            <bubble3D val="0"/>
            <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Chart!$Y$3:$Y$8</f>
              <strCache>
                <ptCount val="6"/>
                <pt idx="0">
                  <v>Red</v>
                </pt>
                <pt idx="1">
                  <v>Lyon</v>
                </pt>
                <pt idx="2">
                  <v>PFX</v>
                </pt>
                <pt idx="3">
                  <v>LSI</v>
                </pt>
                <pt idx="4">
                  <v>Gloria</v>
                </pt>
                <pt idx="5">
                  <v>MBT</v>
                </pt>
              </strCache>
            </strRef>
          </cat>
          <val>
            <numRef>
              <f>Chart!$AD$3:$AD$8</f>
              <numCache>
                <formatCode>#,##0</formatCode>
                <ptCount val="6"/>
                <pt idx="0">
                  <v>38.37942021059098</v>
                </pt>
                <pt idx="1">
                  <v>320.7754092376074</v>
                </pt>
                <pt idx="2">
                  <v>35.08613945426005</v>
                </pt>
                <pt idx="3">
                  <v>0</v>
                </pt>
                <pt idx="4">
                  <v>0</v>
                </pt>
                <pt idx="5">
                  <v>18.05704095837868</v>
                </pt>
              </numCache>
            </numRef>
          </val>
        </ser>
        <ser>
          <idx val="2"/>
          <order val="2"/>
          <spPr>
            <a:solidFill>
              <a:schemeClr val="bg2">
                <a:lumMod val="75000"/>
              </a:schemeClr>
            </a:solidFill>
            <a:ln>
              <a:solidFill>
                <a:srgbClr val="000000"/>
              </a:solidFill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Chart!$Y$3:$Y$8</f>
              <strCache>
                <ptCount val="6"/>
                <pt idx="0">
                  <v>Red</v>
                </pt>
                <pt idx="1">
                  <v>Lyon</v>
                </pt>
                <pt idx="2">
                  <v>PFX</v>
                </pt>
                <pt idx="3">
                  <v>LSI</v>
                </pt>
                <pt idx="4">
                  <v>Gloria</v>
                </pt>
                <pt idx="5">
                  <v>MBT</v>
                </pt>
              </strCache>
            </strRef>
          </cat>
          <val>
            <numRef>
              <f>Chart!$AE$3:$AE$8</f>
              <numCache>
                <formatCode>#,##0</formatCode>
                <ptCount val="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107.9696490659272</v>
                </pt>
                <pt idx="4">
                  <v>45.33236034877413</v>
                </pt>
                <pt idx="5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8"/>
        <overlap val="100"/>
        <axId val="87989632"/>
        <axId val="87995520"/>
      </barChart>
      <catAx>
        <axId val="87989632"/>
        <scaling>
          <orientation val="minMax"/>
        </scaling>
        <delete val="0"/>
        <axPos val="b"/>
        <numFmt formatCode="General" sourceLinked="1"/>
        <majorTickMark val="in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+mn-lt"/>
                <a:ea typeface="宋体"/>
                <a:cs typeface="宋体"/>
              </a:defRPr>
            </a:pPr>
            <a:r>
              <a:t/>
            </a:r>
            <a:endParaRPr lang="zh-CN"/>
          </a:p>
        </txPr>
        <crossAx val="87995520"/>
        <auto val="1"/>
        <lblAlgn val="ctr"/>
        <lblOffset val="100"/>
        <tickLblSkip val="1"/>
        <tickMarkSkip val="1"/>
        <noMultiLvlLbl val="0"/>
      </catAx>
      <valAx>
        <axId val="87995520"/>
        <scaling>
          <orientation val="minMax"/>
          <min val="0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#,##0" sourceLinked="1"/>
        <majorTickMark val="in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+mn-lt"/>
                <a:ea typeface="宋体"/>
                <a:cs typeface="宋体"/>
              </a:defRPr>
            </a:pPr>
            <a:r>
              <a:t/>
            </a:r>
            <a:endParaRPr lang="zh-CN"/>
          </a:p>
        </txPr>
        <crossAx val="87989632"/>
        <crosses val="autoZero"/>
        <crossBetween val="between"/>
        <majorUnit val="20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b="1" sz="1400">
                <a:latin typeface="+mn-lt"/>
              </a:defRPr>
            </a:pPr>
            <a:r>
              <a:rPr altLang="zh-CN" b="1" lang="en-US" sz="1400">
                <a:latin typeface="+mn-lt"/>
              </a:rPr>
              <a:t>SQA</a:t>
            </a:r>
            <a:r>
              <a:rPr altLang="zh-CN" b="1" baseline="0" lang="en-US" sz="1400">
                <a:latin typeface="+mn-lt"/>
              </a:rPr>
              <a:t> PJ Aug. PL Chart </a:t>
            </a:r>
            <a:endParaRPr altLang="en-US" b="1" lang="zh-CN" sz="1400">
              <a:latin typeface="+mn-lt"/>
            </a:endParaRPr>
          </a:p>
        </rich>
      </tx>
      <overlay val="1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x val="0.1426204631472571"/>
          <y val="0.1587661606104341"/>
          <w val="0.7081271833009162"/>
          <h val="0.7290169355280706"/>
        </manualLayout>
      </layout>
      <barChart>
        <barDir val="col"/>
        <grouping val="stacked"/>
        <varyColors val="0"/>
        <ser>
          <idx val="0"/>
          <order val="0"/>
          <spPr>
            <a:noFill/>
            <a:ln w="25400">
              <a:noFill/>
              <a:prstDash val="solid"/>
            </a:ln>
          </spPr>
          <invertIfNegative val="0"/>
          <cat>
            <strRef>
              <f>Chart!$AG$3:$AG$8</f>
              <strCache>
                <ptCount val="6"/>
                <pt idx="0">
                  <v>Red</v>
                </pt>
                <pt idx="1">
                  <v>Lyon</v>
                </pt>
                <pt idx="2">
                  <v>PFX</v>
                </pt>
                <pt idx="3">
                  <v>LSI</v>
                </pt>
                <pt idx="4">
                  <v>Gloria</v>
                </pt>
                <pt idx="5">
                  <v>MBT</v>
                </pt>
              </strCache>
            </strRef>
          </cat>
          <val>
            <numRef>
              <f>Chart!$AK$3:$AK$8</f>
              <numCache>
                <formatCode>#,##0</formatCode>
                <ptCount val="6"/>
                <pt idx="0">
                  <v>0</v>
                </pt>
                <pt idx="1">
                  <v>637.4752905754106</v>
                </pt>
                <pt idx="2">
                  <v>637.4752905754106</v>
                </pt>
                <pt idx="3">
                  <v>639.4060715778812</v>
                </pt>
                <pt idx="4">
                  <v>1074.406236482025</v>
                </pt>
                <pt idx="5">
                  <v>1199.242617329026</v>
                </pt>
              </numCache>
            </numRef>
          </val>
        </ser>
        <ser>
          <idx val="1"/>
          <order val="1"/>
          <spPr>
            <a:solidFill>
              <a:schemeClr val="accent6">
                <a:lumMod val="40000"/>
                <a:lumOff val="60000"/>
              </a:schemeClr>
            </a:solidFill>
            <a:ln>
              <a:solidFill>
                <a:srgbClr val="000000"/>
              </a:solidFill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chemeClr val="bg2">
                  <a:lumMod val="75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Pt>
            <idx val="3"/>
            <invertIfNegative val="0"/>
            <bubble3D val="0"/>
            <spPr>
              <a:ln>
                <a:prstDash val="solid"/>
              </a:ln>
            </spPr>
          </dPt>
          <dPt>
            <idx val="4"/>
            <invertIfNegative val="0"/>
            <bubble3D val="0"/>
            <spPr>
              <a:ln>
                <a:prstDash val="solid"/>
              </a:ln>
            </spPr>
          </dPt>
          <dPt>
            <idx val="5"/>
            <invertIfNegative val="0"/>
            <bubble3D val="0"/>
            <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Chart!$AG$3:$AG$8</f>
              <strCache>
                <ptCount val="6"/>
                <pt idx="0">
                  <v>Red</v>
                </pt>
                <pt idx="1">
                  <v>Lyon</v>
                </pt>
                <pt idx="2">
                  <v>PFX</v>
                </pt>
                <pt idx="3">
                  <v>LSI</v>
                </pt>
                <pt idx="4">
                  <v>Gloria</v>
                </pt>
                <pt idx="5">
                  <v>MBT</v>
                </pt>
              </strCache>
            </strRef>
          </cat>
          <val>
            <numRef>
              <f>Chart!$AL$3:$AL$8</f>
              <numCache>
                <formatCode>#,##0</formatCode>
                <ptCount val="6"/>
                <pt idx="0">
                  <v>0</v>
                </pt>
                <pt idx="1">
                  <v>84.29556238792273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</numCache>
            </numRef>
          </val>
        </ser>
        <ser>
          <idx val="2"/>
          <order val="2"/>
          <spPr>
            <a:solidFill>
              <a:schemeClr val="bg2">
                <a:lumMod val="75000"/>
              </a:schemeClr>
            </a:solidFill>
            <a:ln>
              <a:solidFill>
                <a:srgbClr val="000000"/>
              </a:solidFill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Chart!$AG$3:$AG$8</f>
              <strCache>
                <ptCount val="6"/>
                <pt idx="0">
                  <v>Red</v>
                </pt>
                <pt idx="1">
                  <v>Lyon</v>
                </pt>
                <pt idx="2">
                  <v>PFX</v>
                </pt>
                <pt idx="3">
                  <v>LSI</v>
                </pt>
                <pt idx="4">
                  <v>Gloria</v>
                </pt>
                <pt idx="5">
                  <v>MBT</v>
                </pt>
              </strCache>
            </strRef>
          </cat>
          <val>
            <numRef>
              <f>Chart!$AM$3:$AM$8</f>
              <numCache>
                <formatCode>#,##0</formatCode>
                <ptCount val="6"/>
                <pt idx="0">
                  <v>721.7708529633333</v>
                </pt>
                <pt idx="1">
                  <v>0</v>
                </pt>
                <pt idx="2">
                  <v>1.930781002470624</v>
                </pt>
                <pt idx="3">
                  <v>435.0001649041438</v>
                </pt>
                <pt idx="4">
                  <v>124.836380847001</v>
                </pt>
                <pt idx="5">
                  <v>40.16966148408096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8"/>
        <overlap val="100"/>
        <axId val="90424064"/>
        <axId val="90425600"/>
      </barChart>
      <catAx>
        <axId val="90424064"/>
        <scaling>
          <orientation val="minMax"/>
        </scaling>
        <delete val="0"/>
        <axPos val="b"/>
        <numFmt formatCode="General" sourceLinked="1"/>
        <majorTickMark val="in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+mn-lt"/>
                <a:ea typeface="宋体"/>
                <a:cs typeface="宋体"/>
              </a:defRPr>
            </a:pPr>
            <a:r>
              <a:t/>
            </a:r>
            <a:endParaRPr lang="zh-CN"/>
          </a:p>
        </txPr>
        <crossAx val="90425600"/>
        <auto val="1"/>
        <lblAlgn val="ctr"/>
        <lblOffset val="100"/>
        <tickLblSkip val="1"/>
        <tickMarkSkip val="1"/>
        <noMultiLvlLbl val="0"/>
      </catAx>
      <valAx>
        <axId val="90425600"/>
        <scaling>
          <orientation val="minMax"/>
          <min val="0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#,##0" sourceLinked="1"/>
        <majorTickMark val="in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+mn-lt"/>
                <a:ea typeface="宋体"/>
                <a:cs typeface="宋体"/>
              </a:defRPr>
            </a:pPr>
            <a:r>
              <a:t/>
            </a:r>
            <a:endParaRPr lang="zh-CN"/>
          </a:p>
        </txPr>
        <crossAx val="90424064"/>
        <crosses val="autoZero"/>
        <crossBetween val="between"/>
        <majorUnit val="20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b="1" sz="1400">
                <a:latin typeface="+mn-lt"/>
              </a:defRPr>
            </a:pPr>
            <a:r>
              <a:rPr altLang="zh-CN" b="1" lang="en-US" sz="1400">
                <a:latin typeface="+mn-lt"/>
              </a:rPr>
              <a:t>SQA</a:t>
            </a:r>
            <a:r>
              <a:rPr altLang="zh-CN" b="1" baseline="0" lang="en-US" sz="1400">
                <a:latin typeface="+mn-lt"/>
              </a:rPr>
              <a:t> PJ Sep. PL Chart </a:t>
            </a:r>
            <a:endParaRPr altLang="en-US" b="1" lang="zh-CN" sz="1400">
              <a:latin typeface="+mn-lt"/>
            </a:endParaRPr>
          </a:p>
        </rich>
      </tx>
      <overlay val="1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x val="0.1426204631472571"/>
          <y val="0.1587661606104341"/>
          <w val="0.7081271833009162"/>
          <h val="0.7290169355280706"/>
        </manualLayout>
      </layout>
      <barChart>
        <barDir val="col"/>
        <grouping val="stacked"/>
        <varyColors val="0"/>
        <ser>
          <idx val="0"/>
          <order val="0"/>
          <spPr>
            <a:noFill/>
            <a:ln w="25400">
              <a:noFill/>
              <a:prstDash val="solid"/>
            </a:ln>
          </spPr>
          <invertIfNegative val="0"/>
          <cat>
            <strRef>
              <f>Chart!$AO$3:$AO$8</f>
              <strCache>
                <ptCount val="6"/>
                <pt idx="0">
                  <v>Red</v>
                </pt>
                <pt idx="1">
                  <v>Lyon</v>
                </pt>
                <pt idx="2">
                  <v>PFX</v>
                </pt>
                <pt idx="3">
                  <v>LSI</v>
                </pt>
                <pt idx="4">
                  <v>Gloria</v>
                </pt>
                <pt idx="5">
                  <v>MBT</v>
                </pt>
              </strCache>
            </strRef>
          </cat>
          <val>
            <numRef>
              <f>Chart!$AS$3:$AS$8</f>
              <numCache>
                <formatCode>#,##0</formatCode>
                <ptCount val="6"/>
                <pt idx="0">
                  <v>-116.7338628099396</v>
                </pt>
                <pt idx="1">
                  <v>-225.1710657675765</v>
                </pt>
                <pt idx="2">
                  <v>-225.1710657675765</v>
                </pt>
                <pt idx="3">
                  <v>-338.9549417330762</v>
                </pt>
                <pt idx="4">
                  <v>-338.9549417330762</v>
                </pt>
                <pt idx="5">
                  <v>-412.4284381133013</v>
                </pt>
              </numCache>
            </numRef>
          </val>
        </ser>
        <ser>
          <idx val="1"/>
          <order val="1"/>
          <spPr>
            <a:solidFill>
              <a:schemeClr val="accent6">
                <a:lumMod val="40000"/>
                <a:lumOff val="60000"/>
              </a:schemeClr>
            </a:solidFill>
            <a:ln>
              <a:solidFill>
                <a:srgbClr val="000000"/>
              </a:solidFill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chemeClr val="bg2">
                  <a:lumMod val="75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Pt>
            <idx val="3"/>
            <invertIfNegative val="0"/>
            <bubble3D val="0"/>
            <spPr>
              <a:ln>
                <a:prstDash val="solid"/>
              </a:ln>
            </spPr>
          </dPt>
          <dPt>
            <idx val="4"/>
            <invertIfNegative val="0"/>
            <bubble3D val="0"/>
            <spPr>
              <a:ln>
                <a:prstDash val="solid"/>
              </a:ln>
            </spPr>
          </dPt>
          <dPt>
            <idx val="5"/>
            <invertIfNegative val="0"/>
            <bubble3D val="0"/>
            <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Chart!$AO$3:$AO$8</f>
              <strCache>
                <ptCount val="6"/>
                <pt idx="0">
                  <v>Red</v>
                </pt>
                <pt idx="1">
                  <v>Lyon</v>
                </pt>
                <pt idx="2">
                  <v>PFX</v>
                </pt>
                <pt idx="3">
                  <v>LSI</v>
                </pt>
                <pt idx="4">
                  <v>Gloria</v>
                </pt>
                <pt idx="5">
                  <v>MBT</v>
                </pt>
              </strCache>
            </strRef>
          </cat>
          <val>
            <numRef>
              <f>Chart!$AT$3:$AT$8</f>
              <numCache>
                <formatCode>#,##0</formatCode>
                <ptCount val="6"/>
                <pt idx="0">
                  <v>116.7338628099396</v>
                </pt>
                <pt idx="1">
                  <v>108.4372029576368</v>
                </pt>
                <pt idx="2">
                  <v>0</v>
                </pt>
                <pt idx="3">
                  <v>145.7516743492902</v>
                </pt>
                <pt idx="4">
                  <v>0</v>
                </pt>
                <pt idx="5">
                  <v>95.8664892740203</v>
                </pt>
              </numCache>
            </numRef>
          </val>
        </ser>
        <ser>
          <idx val="2"/>
          <order val="2"/>
          <spPr>
            <a:solidFill>
              <a:schemeClr val="bg2">
                <a:lumMod val="75000"/>
              </a:schemeClr>
            </a:solidFill>
            <a:ln>
              <a:solidFill>
                <a:srgbClr val="000000"/>
              </a:solidFill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Chart!$AO$3:$AO$8</f>
              <strCache>
                <ptCount val="6"/>
                <pt idx="0">
                  <v>Red</v>
                </pt>
                <pt idx="1">
                  <v>Lyon</v>
                </pt>
                <pt idx="2">
                  <v>PFX</v>
                </pt>
                <pt idx="3">
                  <v>LSI</v>
                </pt>
                <pt idx="4">
                  <v>Gloria</v>
                </pt>
                <pt idx="5">
                  <v>MBT</v>
                </pt>
              </strCache>
            </strRef>
          </cat>
          <val>
            <numRef>
              <f>Chart!$AU$3:$AU$8</f>
              <numCache>
                <formatCode>#,##0</formatCode>
                <ptCount val="6"/>
                <pt idx="0">
                  <v>0</v>
                </pt>
                <pt idx="1">
                  <v>0</v>
                </pt>
                <pt idx="2">
                  <v>31.96779838379048</v>
                </pt>
                <pt idx="3">
                  <v>0</v>
                </pt>
                <pt idx="4">
                  <v>22.39299289379514</v>
                </pt>
                <pt idx="5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8"/>
        <overlap val="100"/>
        <axId val="91334528"/>
        <axId val="91336064"/>
      </barChart>
      <catAx>
        <axId val="91334528"/>
        <scaling>
          <orientation val="minMax"/>
        </scaling>
        <delete val="0"/>
        <axPos val="b"/>
        <numFmt formatCode="General" sourceLinked="1"/>
        <majorTickMark val="in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+mn-lt"/>
                <a:ea typeface="宋体"/>
                <a:cs typeface="宋体"/>
              </a:defRPr>
            </a:pPr>
            <a:r>
              <a:t/>
            </a:r>
            <a:endParaRPr lang="zh-CN"/>
          </a:p>
        </txPr>
        <crossAx val="91336064"/>
        <auto val="1"/>
        <lblAlgn val="ctr"/>
        <lblOffset val="100"/>
        <tickLblSkip val="1"/>
        <tickMarkSkip val="1"/>
        <noMultiLvlLbl val="0"/>
      </catAx>
      <valAx>
        <axId val="91336064"/>
        <scaling>
          <orientation val="minMax"/>
          <min val="0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#,##0" sourceLinked="1"/>
        <majorTickMark val="in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+mn-lt"/>
                <a:ea typeface="宋体"/>
                <a:cs typeface="宋体"/>
              </a:defRPr>
            </a:pPr>
            <a:r>
              <a:t/>
            </a:r>
            <a:endParaRPr lang="zh-CN"/>
          </a:p>
        </txPr>
        <crossAx val="91334528"/>
        <crosses val="autoZero"/>
        <crossBetween val="between"/>
        <majorUnit val="20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b="1" sz="1400">
                <a:latin typeface="+mn-lt"/>
              </a:defRPr>
            </a:pPr>
            <a:r>
              <a:rPr altLang="zh-CN" b="1" lang="en-US" sz="1400">
                <a:latin typeface="+mn-lt"/>
              </a:rPr>
              <a:t>SQA</a:t>
            </a:r>
            <a:r>
              <a:rPr altLang="zh-CN" b="1" baseline="0" lang="en-US" sz="1400">
                <a:latin typeface="+mn-lt"/>
              </a:rPr>
              <a:t> PJ Oct. PL Chart </a:t>
            </a:r>
            <a:endParaRPr altLang="en-US" b="1" lang="zh-CN" sz="1400">
              <a:latin typeface="+mn-lt"/>
            </a:endParaRPr>
          </a:p>
        </rich>
      </tx>
      <overlay val="1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x val="0.1426204631472571"/>
          <y val="0.1587661606104341"/>
          <w val="0.7081271833009162"/>
          <h val="0.7290169355280706"/>
        </manualLayout>
      </layout>
      <barChart>
        <barDir val="col"/>
        <grouping val="stacked"/>
        <varyColors val="0"/>
        <ser>
          <idx val="0"/>
          <order val="0"/>
          <spPr>
            <a:noFill/>
            <a:ln w="25400">
              <a:noFill/>
              <a:prstDash val="solid"/>
            </a:ln>
          </spPr>
          <invertIfNegative val="0"/>
          <cat>
            <strRef>
              <f>Chart!$AW$3:$AW$8</f>
              <strCache>
                <ptCount val="6"/>
                <pt idx="0">
                  <v>Red</v>
                </pt>
                <pt idx="1">
                  <v>Lyon</v>
                </pt>
                <pt idx="2">
                  <v>PFX</v>
                </pt>
                <pt idx="3">
                  <v>LSI</v>
                </pt>
                <pt idx="4">
                  <v>Gloria</v>
                </pt>
                <pt idx="5">
                  <v>MBT</v>
                </pt>
              </strCache>
            </strRef>
          </cat>
          <val>
            <numRef>
              <f>Chart!$BA$3:$BA$8</f>
              <numCache>
                <formatCode>#,##0</formatCode>
                <ptCount val="6"/>
                <pt idx="0">
                  <v>-42.33862235461447</v>
                </pt>
                <pt idx="1">
                  <v>-113.4381025469488</v>
                </pt>
                <pt idx="2">
                  <v>-155.5740126760901</v>
                </pt>
                <pt idx="3">
                  <v>-155.5740126760901</v>
                </pt>
                <pt idx="4">
                  <v>-120.3946864515805</v>
                </pt>
                <pt idx="5">
                  <v>-106.1071283744168</v>
                </pt>
              </numCache>
            </numRef>
          </val>
        </ser>
        <ser>
          <idx val="1"/>
          <order val="1"/>
          <spPr>
            <a:solidFill>
              <a:schemeClr val="accent6">
                <a:lumMod val="40000"/>
                <a:lumOff val="60000"/>
              </a:schemeClr>
            </a:solidFill>
            <a:ln>
              <a:solidFill>
                <a:srgbClr val="000000"/>
              </a:solidFill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chemeClr val="bg2">
                  <a:lumMod val="75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Pt>
            <idx val="4"/>
            <invertIfNegative val="0"/>
            <bubble3D val="0"/>
            <spPr>
              <a:ln>
                <a:prstDash val="solid"/>
              </a:ln>
            </spPr>
          </dPt>
          <dPt>
            <idx val="5"/>
            <invertIfNegative val="0"/>
            <bubble3D val="0"/>
            <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Chart!$AW$3:$AW$8</f>
              <strCache>
                <ptCount val="6"/>
                <pt idx="0">
                  <v>Red</v>
                </pt>
                <pt idx="1">
                  <v>Lyon</v>
                </pt>
                <pt idx="2">
                  <v>PFX</v>
                </pt>
                <pt idx="3">
                  <v>LSI</v>
                </pt>
                <pt idx="4">
                  <v>Gloria</v>
                </pt>
                <pt idx="5">
                  <v>MBT</v>
                </pt>
              </strCache>
            </strRef>
          </cat>
          <val>
            <numRef>
              <f>Chart!$BB$3:$BB$8</f>
              <numCache>
                <formatCode>#,##0</formatCode>
                <ptCount val="6"/>
                <pt idx="0">
                  <v>42.33862235461447</v>
                </pt>
                <pt idx="1">
                  <v>71.09948019233433</v>
                </pt>
                <pt idx="2">
                  <v>42.13591012914128</v>
                </pt>
                <pt idx="3">
                  <v>0</v>
                </pt>
                <pt idx="4">
                  <v>0</v>
                </pt>
                <pt idx="5">
                  <v>34.01576055051433</v>
                </pt>
              </numCache>
            </numRef>
          </val>
        </ser>
        <ser>
          <idx val="2"/>
          <order val="2"/>
          <spPr>
            <a:solidFill>
              <a:schemeClr val="bg2">
                <a:lumMod val="75000"/>
              </a:schemeClr>
            </a:solidFill>
            <a:ln>
              <a:solidFill>
                <a:srgbClr val="000000"/>
              </a:solidFill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Chart!$AW$3:$AW$8</f>
              <strCache>
                <ptCount val="6"/>
                <pt idx="0">
                  <v>Red</v>
                </pt>
                <pt idx="1">
                  <v>Lyon</v>
                </pt>
                <pt idx="2">
                  <v>PFX</v>
                </pt>
                <pt idx="3">
                  <v>LSI</v>
                </pt>
                <pt idx="4">
                  <v>Gloria</v>
                </pt>
                <pt idx="5">
                  <v>MBT</v>
                </pt>
              </strCache>
            </strRef>
          </cat>
          <val>
            <numRef>
              <f>Chart!$BC$3:$BC$8</f>
              <numCache>
                <formatCode>#,##0</formatCode>
                <ptCount val="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35.17932622450962</v>
                </pt>
                <pt idx="4">
                  <v>48.30331862767801</v>
                </pt>
                <pt idx="5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8"/>
        <overlap val="100"/>
        <axId val="91419392"/>
        <axId val="91420928"/>
      </barChart>
      <catAx>
        <axId val="91419392"/>
        <scaling>
          <orientation val="minMax"/>
        </scaling>
        <delete val="0"/>
        <axPos val="b"/>
        <numFmt formatCode="General" sourceLinked="1"/>
        <majorTickMark val="in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+mn-lt"/>
                <a:ea typeface="宋体"/>
                <a:cs typeface="宋体"/>
              </a:defRPr>
            </a:pPr>
            <a:r>
              <a:t/>
            </a:r>
            <a:endParaRPr lang="zh-CN"/>
          </a:p>
        </txPr>
        <crossAx val="91420928"/>
        <auto val="1"/>
        <lblAlgn val="ctr"/>
        <lblOffset val="100"/>
        <tickLblSkip val="1"/>
        <tickMarkSkip val="1"/>
        <noMultiLvlLbl val="0"/>
      </catAx>
      <valAx>
        <axId val="91420928"/>
        <scaling>
          <orientation val="minMax"/>
          <min val="0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#,##0" sourceLinked="1"/>
        <majorTickMark val="in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+mn-lt"/>
                <a:ea typeface="宋体"/>
                <a:cs typeface="宋体"/>
              </a:defRPr>
            </a:pPr>
            <a:r>
              <a:t/>
            </a:r>
            <a:endParaRPr lang="zh-CN"/>
          </a:p>
        </txPr>
        <crossAx val="91419392"/>
        <crosses val="autoZero"/>
        <crossBetween val="between"/>
        <majorUnit val="20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b="1" sz="1400">
                <a:latin typeface="+mn-lt"/>
              </a:defRPr>
            </a:pPr>
            <a:r>
              <a:rPr altLang="zh-CN" b="1" lang="en-US" sz="1400">
                <a:latin typeface="+mn-lt"/>
              </a:rPr>
              <a:t>SQA</a:t>
            </a:r>
            <a:r>
              <a:rPr altLang="zh-CN" b="1" baseline="0" lang="en-US" sz="1400">
                <a:latin typeface="+mn-lt"/>
              </a:rPr>
              <a:t> PJ Nov. PL Chart </a:t>
            </a:r>
            <a:endParaRPr altLang="en-US" b="1" lang="zh-CN" sz="1400">
              <a:latin typeface="+mn-lt"/>
            </a:endParaRPr>
          </a:p>
        </rich>
      </tx>
      <overlay val="1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x val="0.1426204631472571"/>
          <y val="0.1587661606104341"/>
          <w val="0.7081271833009162"/>
          <h val="0.7290169355280706"/>
        </manualLayout>
      </layout>
      <barChart>
        <barDir val="col"/>
        <grouping val="stacked"/>
        <varyColors val="0"/>
        <ser>
          <idx val="0"/>
          <order val="0"/>
          <spPr>
            <a:noFill/>
            <a:ln w="25400">
              <a:noFill/>
              <a:prstDash val="solid"/>
            </a:ln>
          </spPr>
          <invertIfNegative val="0"/>
          <cat>
            <strRef>
              <f>Chart!$BE$3:$BE$8</f>
              <strCache>
                <ptCount val="6"/>
                <pt idx="0">
                  <v>Red</v>
                </pt>
                <pt idx="1">
                  <v>Lyon</v>
                </pt>
                <pt idx="2">
                  <v>PFX</v>
                </pt>
                <pt idx="3">
                  <v>LSI</v>
                </pt>
                <pt idx="4">
                  <v>Gloria</v>
                </pt>
                <pt idx="5">
                  <v>MBT</v>
                </pt>
              </strCache>
            </strRef>
          </cat>
          <val>
            <numRef>
              <f>Chart!$BI$3:$BI$8</f>
              <numCache>
                <formatCode>#,##0</formatCode>
                <ptCount val="6"/>
                <pt idx="0">
                  <v>-3.287717408170238</v>
                </pt>
                <pt idx="1">
                  <v>-74.35680751521866</v>
                </pt>
                <pt idx="2">
                  <v>-117.8964124725368</v>
                </pt>
                <pt idx="3">
                  <v>-137.0338078567599</v>
                </pt>
                <pt idx="4">
                  <v>-137.0338078567599</v>
                </pt>
                <pt idx="5">
                  <v>-125.3795633326842</v>
                </pt>
              </numCache>
            </numRef>
          </val>
        </ser>
        <ser>
          <idx val="1"/>
          <order val="1"/>
          <spPr>
            <a:solidFill>
              <a:schemeClr val="accent6">
                <a:lumMod val="40000"/>
                <a:lumOff val="60000"/>
              </a:schemeClr>
            </a:solidFill>
            <a:ln>
              <a:solidFill>
                <a:srgbClr val="000000"/>
              </a:solidFill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chemeClr val="bg2">
                  <a:lumMod val="75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Pt>
            <idx val="4"/>
            <invertIfNegative val="0"/>
            <bubble3D val="0"/>
            <spPr>
              <a:ln>
                <a:prstDash val="solid"/>
              </a:ln>
            </spPr>
          </dPt>
          <dPt>
            <idx val="5"/>
            <invertIfNegative val="0"/>
            <bubble3D val="0"/>
            <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Chart!$BE$3:$BE$8</f>
              <strCache>
                <ptCount val="6"/>
                <pt idx="0">
                  <v>Red</v>
                </pt>
                <pt idx="1">
                  <v>Lyon</v>
                </pt>
                <pt idx="2">
                  <v>PFX</v>
                </pt>
                <pt idx="3">
                  <v>LSI</v>
                </pt>
                <pt idx="4">
                  <v>Gloria</v>
                </pt>
                <pt idx="5">
                  <v>MBT</v>
                </pt>
              </strCache>
            </strRef>
          </cat>
          <val>
            <numRef>
              <f>Chart!$BJ$3:$BJ$8</f>
              <numCache>
                <formatCode>#,##0</formatCode>
                <ptCount val="6"/>
                <pt idx="0">
                  <v>3.287717408170238</v>
                </pt>
                <pt idx="1">
                  <v>71.06909010704842</v>
                </pt>
                <pt idx="2">
                  <v>43.53960495731815</v>
                </pt>
                <pt idx="3">
                  <v>19.13739538422305</v>
                </pt>
                <pt idx="4">
                  <v>0</v>
                </pt>
                <pt idx="5">
                  <v>35.85764412823841</v>
                </pt>
              </numCache>
            </numRef>
          </val>
        </ser>
        <ser>
          <idx val="2"/>
          <order val="2"/>
          <spPr>
            <a:solidFill>
              <a:schemeClr val="bg2">
                <a:lumMod val="75000"/>
              </a:schemeClr>
            </a:solidFill>
            <a:ln>
              <a:solidFill>
                <a:srgbClr val="000000"/>
              </a:solidFill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Chart!$BE$3:$BE$8</f>
              <strCache>
                <ptCount val="6"/>
                <pt idx="0">
                  <v>Red</v>
                </pt>
                <pt idx="1">
                  <v>Lyon</v>
                </pt>
                <pt idx="2">
                  <v>PFX</v>
                </pt>
                <pt idx="3">
                  <v>LSI</v>
                </pt>
                <pt idx="4">
                  <v>Gloria</v>
                </pt>
                <pt idx="5">
                  <v>MBT</v>
                </pt>
              </strCache>
            </strRef>
          </cat>
          <val>
            <numRef>
              <f>Chart!$BK$3:$BK$8</f>
              <numCache>
                <formatCode>#,##0</formatCode>
                <ptCount val="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47.51188865231407</v>
                </pt>
                <pt idx="5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8"/>
        <overlap val="100"/>
        <axId val="91467136"/>
        <axId val="91477120"/>
      </barChart>
      <catAx>
        <axId val="91467136"/>
        <scaling>
          <orientation val="minMax"/>
        </scaling>
        <delete val="0"/>
        <axPos val="b"/>
        <numFmt formatCode="General" sourceLinked="1"/>
        <majorTickMark val="in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+mn-lt"/>
                <a:ea typeface="宋体"/>
                <a:cs typeface="宋体"/>
              </a:defRPr>
            </a:pPr>
            <a:r>
              <a:t/>
            </a:r>
            <a:endParaRPr lang="zh-CN"/>
          </a:p>
        </txPr>
        <crossAx val="91477120"/>
        <auto val="1"/>
        <lblAlgn val="ctr"/>
        <lblOffset val="100"/>
        <tickLblSkip val="1"/>
        <tickMarkSkip val="1"/>
        <noMultiLvlLbl val="0"/>
      </catAx>
      <valAx>
        <axId val="91477120"/>
        <scaling>
          <orientation val="minMax"/>
          <min val="0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#,##0" sourceLinked="1"/>
        <majorTickMark val="in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+mn-lt"/>
                <a:ea typeface="宋体"/>
                <a:cs typeface="宋体"/>
              </a:defRPr>
            </a:pPr>
            <a:r>
              <a:t/>
            </a:r>
            <a:endParaRPr lang="zh-CN"/>
          </a:p>
        </txPr>
        <crossAx val="91467136"/>
        <crosses val="autoZero"/>
        <crossBetween val="between"/>
        <majorUnit val="200"/>
      </valAx>
    </plotArea>
    <plotVisOnly val="1"/>
    <dispBlanksAs val="gap"/>
  </chart>
</chartSpace>
</file>

<file path=xl/comments/comment1.xml><?xml version="1.0" encoding="utf-8"?>
<comments xmlns="http://schemas.openxmlformats.org/spreadsheetml/2006/main">
  <authors>
    <author>5109202079</author>
  </authors>
  <commentList>
    <comment authorId="0" ref="K24" shapeId="0">
      <text>
        <t>FY17 OCT +2%</t>
      </text>
    </comment>
  </commentList>
</comments>
</file>

<file path=xl/comments/comment2.xml><?xml version="1.0" encoding="utf-8"?>
<comments xmlns="http://schemas.openxmlformats.org/spreadsheetml/2006/main">
  <authors>
    <author>5109202079</author>
    <author>xiangyanni</author>
    <author>Chen, Geng</author>
    <author>Xiang, Kelly</author>
    <author>Lin, Rebecca</author>
    <author>5109202101</author>
    <author>Dai, Rita</author>
  </authors>
  <commentList>
    <comment authorId="0" ref="F11" shapeId="0">
      <text>
        <t>VPN费用客户承担一半（27万），按季度请费。体现在Audio PA及BDP项目</t>
      </text>
    </comment>
    <comment authorId="0" ref="B15" shapeId="0">
      <text>
        <t>Home Video&amp;Home Audio</t>
      </text>
    </comment>
    <comment authorId="0" ref="B19" shapeId="0">
      <text>
        <t>PC App+PMM SQA</t>
      </text>
    </comment>
    <comment authorId="0" ref="B23" shapeId="0">
      <text>
        <t>CSC-SIE Test</t>
      </text>
    </comment>
    <comment authorId="1" ref="B27" shapeId="0">
      <text>
        <t>Spritzer</t>
      </text>
    </comment>
    <comment authorId="2" ref="G32" shapeId="0">
      <text>
        <t>Chen, Geng:
consulting+ trail </t>
      </text>
    </comment>
    <comment authorId="2" ref="J32" shapeId="0">
      <text>
        <t>Chen, Geng:
2nd module</t>
      </text>
    </comment>
    <comment authorId="2" ref="N32" shapeId="0">
      <text>
        <t>Chen, Geng:
3rd module</t>
      </text>
    </comment>
    <comment authorId="2" ref="G35" shapeId="0">
      <text>
        <t>Chen, Geng:
including trip cost21305</t>
      </text>
    </comment>
    <comment authorId="2" ref="G41" shapeId="0">
      <text>
        <t>Chen, Geng:
yu jing</t>
      </text>
    </comment>
    <comment authorId="2" ref="G42" shapeId="0">
      <text>
        <t>Chen, Geng:
10 intern till JUN
all intern till Jun, keep 5 at most in 10 </t>
      </text>
    </comment>
    <comment authorId="3" ref="I43" shapeId="0">
      <text>
        <t>Xiang, Kelly:
6月收款2笔，分5月和6月</t>
      </text>
    </comment>
    <comment authorId="4" ref="J43" shapeId="0">
      <text>
        <t>Lin, Rebecca:
第一期补：7/20
7月补收：48679
第二期主合同：6/25-8/13
7月收：106132
8月收：11791.25</t>
      </text>
    </comment>
    <comment authorId="4" ref="K43" shapeId="0">
      <text>
        <t>Lin, Rebecca:
第三期合同：7/23-8/22
8/20收：216487.35
9/20收：24054.15</t>
      </text>
    </comment>
    <comment authorId="5" ref="G122" shapeId="0">
      <text>
        <t>Yukang excluded</t>
      </text>
    </comment>
    <comment authorId="5" ref="H122" shapeId="0">
      <text>
        <t>Yukang excluded</t>
      </text>
    </comment>
    <comment authorId="5" ref="I122" shapeId="0">
      <text>
        <t>Yukang excluded</t>
      </text>
    </comment>
    <comment authorId="5" ref="J122" shapeId="0">
      <text>
        <t>Yukang excluded</t>
      </text>
    </comment>
    <comment authorId="5" ref="K122" shapeId="0">
      <text>
        <t>Yukang excluded</t>
      </text>
    </comment>
    <comment authorId="5" ref="L122" shapeId="0">
      <text>
        <t>Yukang excluded</t>
      </text>
    </comment>
    <comment authorId="5" ref="N122" shapeId="0">
      <text>
        <t>Yukang excluded</t>
      </text>
    </comment>
    <comment authorId="5" ref="O122" shapeId="0">
      <text>
        <t>Yukang excluded</t>
      </text>
    </comment>
    <comment authorId="5" ref="P122" shapeId="0">
      <text>
        <t>Yukang excluded</t>
      </text>
    </comment>
    <comment authorId="5" ref="Q122" shapeId="0">
      <text>
        <t>Yukang excluded</t>
      </text>
    </comment>
    <comment authorId="5" ref="R122" shapeId="0">
      <text>
        <t>Yukang excluded</t>
      </text>
    </comment>
    <comment authorId="5" ref="S122" shapeId="0">
      <text>
        <t>Yukang excluded</t>
      </text>
    </comment>
    <comment authorId="6" ref="G138" shapeId="0">
      <text>
        <t>Dai, Rita:
含管理费：8K</t>
      </text>
    </comment>
  </commentList>
</comments>
</file>

<file path=xl/comments/comment3.xml><?xml version="1.0" encoding="utf-8"?>
<comments xmlns="http://schemas.openxmlformats.org/spreadsheetml/2006/main">
  <authors>
    <author>Dai, Rita</author>
  </authors>
  <commentList>
    <comment authorId="0" ref="A18" shapeId="0">
      <text>
        <t>Dai, Rita:
原DSBG</t>
      </text>
    </comment>
    <comment authorId="0" ref="A21" shapeId="0">
      <text>
        <t>Dai, Rita:
原DI</t>
      </text>
    </comment>
  </commentList>
</comments>
</file>

<file path=xl/comments/comment4.xml><?xml version="1.0" encoding="utf-8"?>
<comments xmlns="http://schemas.openxmlformats.org/spreadsheetml/2006/main">
  <authors>
    <author>Dai, Rita</author>
    <author>Lin, Rebecca</author>
  </authors>
  <commentList>
    <comment authorId="0" ref="C10" shapeId="0">
      <text>
        <t>Dai, Rita:
1,加上Admin的费用
2,加上退税和奖金</t>
      </text>
    </comment>
    <comment authorId="1" ref="C20" shapeId="0">
      <text>
        <t>Lin, Rebecca:
不含YK</t>
      </text>
    </comment>
    <comment authorId="1" ref="D24" shapeId="0">
      <text>
        <t>Lin, Rebecca:
含王诚，杨成刚</t>
      </text>
    </comment>
    <comment authorId="1" ref="D27" shapeId="0">
      <text>
        <t>Lin, Rebecca:
含juanjuan</t>
      </text>
    </comment>
    <comment authorId="1" ref="D28" shapeId="0">
      <text>
        <t>Lin, Rebecca:
含Rita</t>
      </text>
    </comment>
    <comment authorId="0" ref="D39" shapeId="0">
      <text>
        <t>Dai, Rita:
王桂文出差费用17911元，在5月回收。</t>
      </text>
    </comment>
    <comment authorId="0" ref="D53" shapeId="0">
      <text>
        <t>Dai, Rita:
Red</t>
      </text>
    </comment>
    <comment authorId="0" ref="D54" shapeId="0">
      <text>
        <t>Dai, Rita:
yoyo,方燕红，杨蕾，王诚</t>
      </text>
    </comment>
    <comment authorId="0" ref="D89" shapeId="0">
      <text>
        <t>Dai, Rita:
方燕红，杨蕾，王诚</t>
      </text>
    </comment>
    <comment authorId="0" ref="D109" shapeId="0">
      <text>
        <t>Dai, Rita:
王桂文出差费用17911元单独计入</t>
      </text>
    </comment>
    <comment authorId="0" ref="D123" shapeId="0">
      <text>
        <t>Dai, Rita:
Red,</t>
      </text>
    </comment>
    <comment authorId="0" ref="D124" shapeId="0">
      <text>
        <t>Dai, Rita:
yoyo</t>
      </text>
    </comment>
    <comment authorId="0" ref="D144" shapeId="0">
      <text>
        <t>Dai, Rita:
王桂文出差费用17911元单独计入</t>
      </text>
    </comment>
    <comment authorId="0" ref="D158" shapeId="0">
      <text>
        <t>Dai, Rita:
Red,Yoyo</t>
      </text>
    </comment>
    <comment authorId="0" ref="D159" shapeId="0">
      <text>
        <t>Dai, Rita:
方燕红，杨蕾，王诚</t>
      </text>
    </comment>
    <comment authorId="0" ref="D180" shapeId="0">
      <text>
        <t>Dai, Rita:
华夏DI项目出差费用11174.3元单独计入12273中</t>
      </text>
    </comment>
    <comment authorId="1" ref="D194" shapeId="0">
      <text>
        <t>Lin, Rebecca:
lyon,Caopa,</t>
      </text>
    </comment>
    <comment authorId="0" ref="D195" shapeId="0">
      <text>
        <t>Dai, Rita:
Wangguiwen</t>
      </text>
    </comment>
    <comment authorId="0" ref="E195" shapeId="0">
      <text>
        <t>Dai, Rita:
方勋，王桂文</t>
      </text>
    </comment>
    <comment authorId="0" ref="D229" shapeId="0">
      <text>
        <t>Dai, Rita:
王桂文</t>
      </text>
    </comment>
    <comment authorId="0" ref="D264" shapeId="0">
      <text>
        <t>Dai, Rita:
王桂文</t>
      </text>
    </comment>
    <comment authorId="1" ref="D297" shapeId="0">
      <text>
        <t>Lin, Rebecca:
Lyon</t>
      </text>
    </comment>
    <comment authorId="1" ref="D331" shapeId="0">
      <text>
        <t>Lin, Rebecca:
Caopan</t>
      </text>
    </comment>
    <comment authorId="0" ref="D401" shapeId="0">
      <text>
        <t>Huaxia,Joy</t>
      </text>
    </comment>
    <comment authorId="0" ref="H401" shapeId="0">
      <text>
        <t>Dai, Rita:
华夏8/31</t>
      </text>
    </comment>
    <comment authorId="0" ref="D436" shapeId="0">
      <text>
        <t>Huaxia,Joy</t>
      </text>
    </comment>
    <comment authorId="1" ref="D469" shapeId="0">
      <text>
        <t>Lin, Rebecca:
Houxiaofeng</t>
      </text>
    </comment>
    <comment authorId="1" ref="G469" shapeId="0">
      <text>
        <t>Lin, Rebecca:
hou move to DI</t>
      </text>
    </comment>
    <comment authorId="1" ref="G504" shapeId="0">
      <text>
        <t>Lin, Rebecca:
hou move to DI</t>
      </text>
    </comment>
    <comment authorId="1" ref="G538" shapeId="0">
      <text>
        <t>Lin, Rebecca:
hou move to DI</t>
      </text>
    </comment>
    <comment authorId="1" ref="G573" shapeId="0">
      <text>
        <t>Lin, Rebecca:
hou move to DI</t>
      </text>
    </comment>
    <comment authorId="0" ref="D608" shapeId="0">
      <text>
        <t>Dai, Rita:
成亮，杨雪斌，杨成刚</t>
      </text>
    </comment>
    <comment authorId="0" ref="E608" shapeId="0">
      <text>
        <t>Dai, Rita:
成亮，杨雪斌，杨成刚，王超</t>
      </text>
    </comment>
    <comment authorId="0" ref="F608" shapeId="0">
      <text>
        <t>Dai, Rita:
杨成刚6/19</t>
      </text>
    </comment>
    <comment authorId="0" ref="H608" shapeId="0">
      <text>
        <t>Dai, Rita:
成亮，杨雪斌，王超，Joy</t>
      </text>
    </comment>
    <comment authorId="0" ref="D609" shapeId="0">
      <text>
        <t>Dai, Rita:
王付翔</t>
      </text>
    </comment>
    <comment authorId="0" ref="E609" shapeId="0">
      <text>
        <t>Dai, Rita:
王付翔</t>
      </text>
    </comment>
    <comment authorId="0" ref="F609" shapeId="0">
      <text>
        <t>Dai, Rita:
冯红霞6/20</t>
      </text>
    </comment>
    <comment authorId="0" ref="G609" shapeId="0">
      <text>
        <t>Dai, Rita:
王付翔，冯红霞</t>
      </text>
    </comment>
    <comment authorId="1" ref="D638" shapeId="0">
      <text>
        <t>Lin, Rebecca:
fangxun没有收入</t>
      </text>
    </comment>
  </commentList>
</comments>
</file>

<file path=xl/comments/comment5.xml><?xml version="1.0" encoding="utf-8"?>
<comments xmlns="http://schemas.openxmlformats.org/spreadsheetml/2006/main">
  <authors>
    <author>Xiang, Kelly</author>
    <author>xiangyanni</author>
    <author>Lin, Rebecca</author>
    <author>5109202079</author>
    <author>Dai, Rita</author>
  </authors>
  <commentList>
    <comment authorId="0" ref="F5" shapeId="0">
      <text>
        <t>含2018年1-3月退税：
522,225RMB</t>
      </text>
    </comment>
    <comment authorId="0" ref="E34" shapeId="0">
      <text>
        <t>+1代表ZY</t>
      </text>
    </comment>
    <comment authorId="0" ref="F68" shapeId="0">
      <text>
        <t>申付民leave</t>
      </text>
    </comment>
    <comment authorId="1" ref="C107" shapeId="0">
      <text>
        <t>include 17112 Rev.
</t>
      </text>
    </comment>
    <comment authorId="2" ref="E114" shapeId="0">
      <text>
        <t>减掉侯晓峰，华夏，方勋</t>
      </text>
    </comment>
    <comment authorId="2" ref="F114" shapeId="0">
      <text>
        <t>Lin, Rebecca:
补回王贵文，减掉侯晓峰，华夏，</t>
      </text>
    </comment>
    <comment authorId="2" ref="G114" shapeId="0">
      <text>
        <t>补回王贵文，减掉侯晓峰，华夏，
Caopan公积金补偿约5万</t>
      </text>
    </comment>
    <comment authorId="0" ref="H114" shapeId="0">
      <text>
        <t>含Cao pan离职补偿</t>
      </text>
    </comment>
    <comment authorId="1" ref="B134" shapeId="0">
      <text>
        <t>xiangyanni:
若金额小，放到other中去</t>
      </text>
    </comment>
    <comment authorId="0" ref="H136" shapeId="0">
      <text>
        <t>CaoPan left on 6/29</t>
      </text>
    </comment>
    <comment authorId="2" ref="E148" shapeId="0">
      <text>
        <t>Lin, Rebecca:
1.侯晓峰转入MBT 项目4-6中,7-12月进入DI项目;
2.华夏转入DI项目中；</t>
      </text>
    </comment>
    <comment authorId="2" ref="F148" shapeId="0">
      <text>
        <t>Lin, Rebecca:
1.4-6月期间没有buffer；2.侯晓峰转入MBT 项目4-6中,7-12月进入DI项目;3.华夏转入DI项目中；</t>
      </text>
    </comment>
    <comment authorId="2" ref="G148" shapeId="0">
      <text>
        <t>Lin, Rebecca:
1.4-6月期间没有buffer；2.侯晓峰转入MBT 项目4-6中,7-12月进入DI项目;3.华夏转入DI项目中；</t>
      </text>
    </comment>
    <comment authorId="2" ref="E170" shapeId="0">
      <text>
        <t>Lin, Rebecca:
TTL:5
G6:1 Kevin
G5:1 侯
G4-A：2 Joy，华
G4：1 Yu</t>
      </text>
    </comment>
    <comment authorId="2" ref="F170" shapeId="0">
      <text>
        <t>Lin, Rebecca:
TTL:5
G6:1 Kevin
G5:1 侯
G4-A：2 Joy，华
G4：1 Yu</t>
      </text>
    </comment>
    <comment authorId="2" ref="G170" shapeId="0">
      <text>
        <t>Lin, Rebecca:
TTL:5
G6:1 Kevin
G5:1 侯
G4-A：2 Joy，华
G4：1 Yu</t>
      </text>
    </comment>
    <comment authorId="2" ref="H170" shapeId="0">
      <text>
        <t>Lin, Rebecca:
TTL:6-1=5
G6:1 Kevin
G5:1 侯
G4-A：Joy，华
G4：1 Yu</t>
      </text>
    </comment>
    <comment authorId="2" ref="I170" shapeId="0">
      <text>
        <t>Lin, Rebecca:
TTL:6-1-1=4
G6:1 Kevin
G5:1 侯
G4-A：华(8/31out)
G4：1 Yu</t>
      </text>
    </comment>
    <comment authorId="2" ref="J170" shapeId="0">
      <text>
        <t>Lin, Rebecca:
TTL:6-1=5
G6:1 Kevin
G5:1 侯
G4-A：Joy，华
G4：1 Yu</t>
      </text>
    </comment>
    <comment authorId="2" ref="K170" shapeId="0">
      <text>
        <t>Lin, Rebecca:
TTL:6-1=5
G6:1 Kevin
G5:1 侯
G4-A：Joy，华
G4：1 Yu</t>
      </text>
    </comment>
    <comment authorId="2" ref="L170" shapeId="0">
      <text>
        <t>Lin, Rebecca:
TTL:6-1=5
G6:1 Kevin
G5:1 侯
G4-A：Joy，华
G4：1 Yu</t>
      </text>
    </comment>
    <comment authorId="2" ref="M170" shapeId="0">
      <text>
        <t>Lin, Rebecca:
TTL:6-1=5
G6:1 Kevin
G5:1 侯
G4-A：Joy，华
G4：1 Yu</t>
      </text>
    </comment>
    <comment authorId="2" ref="N170" shapeId="0">
      <text>
        <t>Lin, Rebecca:
TTL:6-1=5
G6:1 Kevin
G5:1 侯
G4-A：Joy，华
G4：1 Yu</t>
      </text>
    </comment>
    <comment authorId="2" ref="O170" shapeId="0">
      <text>
        <t>Lin, Rebecca:
TTL:6-1=5
G6:1 Kevin
G5:1 侯
G4-A：Joy，华
G4：1 Yu</t>
      </text>
    </comment>
    <comment authorId="2" ref="P170" shapeId="0">
      <text>
        <t>Lin, Rebecca:
TTL:6-1=5
G6:1 Kevin
G5:1 侯
G4-A：Joy，华
G4：1 Yu</t>
      </text>
    </comment>
    <comment authorId="1" ref="A174" shapeId="0">
      <text>
        <t>effective from2015/5/1</t>
      </text>
    </comment>
    <comment authorId="1" ref="A208" shapeId="0">
      <text>
        <t>effective from2015/7/1</t>
      </text>
    </comment>
    <comment authorId="2" ref="E238" shapeId="0">
      <text>
        <t>G5：1 Red
G4-A:2 Yoyo,杨蕾
G4：2方燕红，丁亮
王诚</t>
      </text>
    </comment>
    <comment authorId="0" ref="F238" shapeId="0">
      <text>
        <t>G5：1 Red
G4-A:3 Yoyo,杨蕾，王诚
G4：1方燕红</t>
      </text>
    </comment>
    <comment authorId="1" ref="L238" shapeId="0">
      <text>
        <t>12月起—王桂文=8人
</t>
      </text>
    </comment>
    <comment authorId="0" ref="E250" shapeId="0">
      <text>
        <t>+方勋</t>
      </text>
    </comment>
    <comment authorId="2" ref="E272" shapeId="0">
      <text>
        <t>Lin, Rebecca:
TTL：6
G6:1 市川
G4-A：3 杨雪，成，杨成刚，方勋
G4：1 王</t>
      </text>
    </comment>
    <comment authorId="2" ref="F272" shapeId="0">
      <text>
        <t>Lin, Rebecca:
TTL：6+1
G6:1 市川
G4-A：4 杨雪斌，成亮，杨成刚，王超
G4：1 王付翔
</t>
      </text>
    </comment>
    <comment authorId="2" ref="G272" shapeId="0">
      <text>
        <t>Lin, Rebecca:
TTL：6+1
G6:1 市川
G4-A：4 杨雪，成，杨成刚，王超，New
G4：1 王</t>
      </text>
    </comment>
    <comment authorId="2" ref="H272" shapeId="0">
      <text>
        <t>Lin, Rebecca:
TTL：6+1
G6:1 市川
G4-A：4 杨雪，成，杨成刚，王超,冯
G4：1 王</t>
      </text>
    </comment>
    <comment authorId="2" ref="I272" shapeId="0">
      <text>
        <t>Lin, Rebecca:
TTL：6+1
G6:1 市川
G4-A：4 杨雪，成，杨成刚，王超，Joy
G4：1 王，冯</t>
      </text>
    </comment>
    <comment authorId="2" ref="J272" shapeId="0">
      <text>
        <t>Lin, Rebecca:
TTL：6+1
G6:1 市川
G4-A：4 杨雪，成，杨成刚，王超，Joy
G4：1 王，冯</t>
      </text>
    </comment>
    <comment authorId="2" ref="K272" shapeId="0">
      <text>
        <t>Lin, Rebecca:
TTL：6+1
G6:1 市川
G4-A：4 杨雪，成，杨成刚，王超，Joy
G4：1 王，冯</t>
      </text>
    </comment>
    <comment authorId="2" ref="L272" shapeId="0">
      <text>
        <t>Lin, Rebecca:
TTL：8
G6:1 市川
G4-A：4 杨雪，陈，杨Joy，方
G4：3 王，冯，new2</t>
      </text>
    </comment>
    <comment authorId="2" ref="M272" shapeId="0">
      <text>
        <t>Lin, Rebecca:
TTL：8
G6:1 市川
G4-A：4 杨雪，陈，杨Joy，方
G4：3 王，冯，new2</t>
      </text>
    </comment>
    <comment authorId="2" ref="N272" shapeId="0">
      <text>
        <t>Lin, Rebecca:
TTL：9
G6:1 市川
G4-A：4 杨雪，陈，杨New，方
G4：4 王，new1，new2，new3</t>
      </text>
    </comment>
    <comment authorId="2" ref="O272" shapeId="0">
      <text>
        <t>Lin, Rebecca:
TTL：9
G6:1 市川
G4-A：4 杨雪，陈，杨New，方
G4：4 王，new1，new2，new3</t>
      </text>
    </comment>
    <comment authorId="2" ref="P272" shapeId="0">
      <text>
        <t>Lin, Rebecca:
TTL：9
G6:1 市川
G4-A：4 杨雪，陈，杨New，方
G4：4 王，new1，new2，new3</t>
      </text>
    </comment>
    <comment authorId="3" ref="D294" shapeId="0">
      <text>
        <t>12221的费用加到这里</t>
      </text>
    </comment>
    <comment authorId="0" ref="E337" shapeId="0">
      <text>
        <t>和OB不同的是减去了Nagano san</t>
      </text>
    </comment>
    <comment authorId="3" ref="D356" shapeId="0">
      <text>
        <t>exclude:
12198,12271</t>
      </text>
    </comment>
    <comment authorId="0" ref="G407" shapeId="0">
      <text>
        <t>EGIS部门6月费用比OB多100万</t>
      </text>
    </comment>
    <comment authorId="0" ref="Q407" shapeId="0">
      <text>
        <t>总数和OB差不多，
每个月适当调整</t>
      </text>
    </comment>
    <comment authorId="3" ref="M411" shapeId="0">
      <text>
        <t>5109202079:
12221:-23820.4</t>
      </text>
    </comment>
    <comment authorId="0" ref="I416" shapeId="0">
      <text>
        <t>+唐颂</t>
      </text>
    </comment>
    <comment authorId="3" ref="L418" shapeId="0">
      <text>
        <t>11月IS申费用申请有漏，12月补，在此按OB数据记入。</t>
      </text>
    </comment>
    <comment authorId="0" ref="D447" shapeId="0">
      <text>
        <t>Xiang, Kelly:
4-10月期间，追加VPN费用，每月47700RMB。
实际走OS费用</t>
      </text>
    </comment>
    <comment authorId="0" ref="E447" shapeId="0">
      <text>
        <t>Xiang, Kelly:
4-10月，每月追加45000RMB，VPN费用</t>
      </text>
    </comment>
    <comment authorId="0" ref="E450" shapeId="0">
      <text>
        <t>1-3月的电费本月支付</t>
      </text>
    </comment>
    <comment authorId="4" ref="B457" shapeId="0">
      <text>
        <t>Dai, Rita:
EPG后面区域坐着LSI的Intern，故加30。</t>
      </text>
    </comment>
  </commentList>
</comments>
</file>

<file path=xl/comments/comment6.xml><?xml version="1.0" encoding="utf-8"?>
<comments xmlns="http://schemas.openxmlformats.org/spreadsheetml/2006/main">
  <authors>
    <author>Dai, Rita</author>
  </authors>
  <commentList>
    <comment authorId="0" ref="A10" shapeId="0">
      <text>
        <t>Dai, Rita:
Admin费用加到12163的Othiers里均摊</t>
      </text>
    </comment>
    <comment authorId="0" ref="A58" shapeId="0">
      <text>
        <t>Dai, Rita:
包含Pcapp中的OS费用和SCE兼做BDP项目的0.5个OS费用</t>
      </text>
    </comment>
    <comment authorId="0" ref="D58" shapeId="0">
      <text>
        <t>Dai, Rita:
减去47700VPN费用</t>
      </text>
    </comment>
    <comment authorId="0" ref="A82" shapeId="0">
      <text>
        <t>Dai, Rita:
包含Pcapp中的OS费用和SCE兼做BDP项目的0.5个OS费用</t>
      </text>
    </comment>
    <comment authorId="0" ref="A106" shapeId="0">
      <text>
        <t>Dai, Rita:
包含Pcapp中的OS费用和SCE兼做BDP项目的0.5个OS费用</t>
      </text>
    </comment>
    <comment authorId="0" ref="A179" shapeId="0">
      <text>
        <t>Dai, Rita:
含8K管理费</t>
      </text>
    </comment>
    <comment authorId="0" ref="P225" shapeId="0">
      <text>
        <t>Dai, Rita:
7月出差费用都记入Lyon项目</t>
      </text>
    </comment>
  </commentList>
</comments>
</file>

<file path=xl/comments/comment7.xml><?xml version="1.0" encoding="utf-8"?>
<comments xmlns="http://schemas.openxmlformats.org/spreadsheetml/2006/main">
  <authors>
    <author>作者</author>
    <author>Dai, Rita</author>
    <author>Lin, Rebecca</author>
  </authors>
  <commentList>
    <comment authorId="0" ref="U5" shapeId="0">
      <text>
        <t>作者:
减去VPN</t>
      </text>
    </comment>
    <comment authorId="1" ref="C57" shapeId="0">
      <text>
        <t>Dai, Rita:
Kevin 13109.44元
Huaxia 11174元</t>
      </text>
    </comment>
    <comment authorId="2" ref="B61" shapeId="0">
      <text>
        <t>Lin, Rebecca:
合并HF test的费用</t>
      </text>
    </comment>
  </commentList>
</comments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Relationship Id="rId2" Target="/xl/charts/chart3.xml" Type="http://schemas.openxmlformats.org/officeDocument/2006/relationships/chart" /><Relationship Id="rId3" Target="/xl/charts/chart4.xml" Type="http://schemas.openxmlformats.org/officeDocument/2006/relationships/chart" /><Relationship Id="rId4" Target="/xl/charts/chart5.xml" Type="http://schemas.openxmlformats.org/officeDocument/2006/relationships/chart" /><Relationship Id="rId5" Target="/xl/charts/chart6.xml" Type="http://schemas.openxmlformats.org/officeDocument/2006/relationships/chart" /><Relationship Id="rId6" Target="/xl/charts/chart7.xml" Type="http://schemas.openxmlformats.org/officeDocument/2006/relationships/chart" /><Relationship Id="rId7" Target="/xl/charts/chart8.xml" Type="http://schemas.openxmlformats.org/officeDocument/2006/relationships/chart" /><Relationship Id="rId8" Target="/xl/charts/chart9.xml" Type="http://schemas.openxmlformats.org/officeDocument/2006/relationships/chart" /><Relationship Id="rId9" Target="/xl/charts/chart10.xml" Type="http://schemas.openxmlformats.org/officeDocument/2006/relationships/chart" /><Relationship Id="rId10" Target="/xl/charts/chart11.xml" Type="http://schemas.openxmlformats.org/officeDocument/2006/relationships/chart" /><Relationship Id="rId11" Target="/xl/charts/chart12.xml" Type="http://schemas.openxmlformats.org/officeDocument/2006/relationships/chart" /><Relationship Id="rId12" Target="/xl/charts/chart13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14.xml" Type="http://schemas.openxmlformats.org/officeDocument/2006/relationships/chart" /><Relationship Id="rId2" Target="/xl/charts/chart15.xml" Type="http://schemas.openxmlformats.org/officeDocument/2006/relationships/chart" /><Relationship Id="rId3" Target="/xl/charts/chart16.xml" Type="http://schemas.openxmlformats.org/officeDocument/2006/relationships/chart" /><Relationship Id="rId4" Target="/xl/charts/chart17.xml" Type="http://schemas.openxmlformats.org/officeDocument/2006/relationships/chart" /><Relationship Id="rId5" Target="/xl/charts/chart18.xml" Type="http://schemas.openxmlformats.org/officeDocument/2006/relationships/chart" /><Relationship Id="rId6" Target="/xl/charts/chart19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20.xml" Type="http://schemas.openxmlformats.org/officeDocument/2006/relationships/chart" /><Relationship Id="rId2" Target="/xl/charts/chart21.xml" Type="http://schemas.openxmlformats.org/officeDocument/2006/relationships/chart" /><Relationship Id="rId3" Target="/xl/charts/chart22.xml" Type="http://schemas.openxmlformats.org/officeDocument/2006/relationships/chart" /><Relationship Id="rId4" Target="/xl/charts/chart23.xml" Type="http://schemas.openxmlformats.org/officeDocument/2006/relationships/chart" /><Relationship Id="rId5" Target="/xl/charts/chart24.xml" Type="http://schemas.openxmlformats.org/officeDocument/2006/relationships/chart" /><Relationship Id="rId6" Target="/xl/charts/chart25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11430</colOff>
      <row>37</row>
      <rowOff>137160</rowOff>
    </from>
    <to>
      <col>24</col>
      <colOff>449580</colOff>
      <row>62</row>
      <rowOff>144780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23813</colOff>
      <row>9</row>
      <rowOff>47625</rowOff>
    </from>
    <to>
      <col>6</col>
      <colOff>583406</colOff>
      <row>28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214313</colOff>
      <row>9</row>
      <rowOff>47624</rowOff>
    </from>
    <to>
      <col>15</col>
      <colOff>59531</colOff>
      <row>27</row>
      <rowOff>178594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15</col>
      <colOff>404814</colOff>
      <row>9</row>
      <rowOff>47625</rowOff>
    </from>
    <to>
      <col>23</col>
      <colOff>23813</colOff>
      <row>28</row>
      <rowOff>11906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23</col>
      <colOff>619127</colOff>
      <row>9</row>
      <rowOff>23813</rowOff>
    </from>
    <to>
      <col>31</col>
      <colOff>11906</colOff>
      <row>27</row>
      <rowOff>130970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32</col>
      <colOff>11906</colOff>
      <row>9</row>
      <rowOff>23813</rowOff>
    </from>
    <to>
      <col>38</col>
      <colOff>654844</colOff>
      <row>27</row>
      <rowOff>142876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40</col>
      <colOff>23813</colOff>
      <row>9</row>
      <rowOff>11906</rowOff>
    </from>
    <to>
      <col>46</col>
      <colOff>642937</colOff>
      <row>27</row>
      <rowOff>71437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48</col>
      <colOff>59532</colOff>
      <row>9</row>
      <rowOff>11907</rowOff>
    </from>
    <to>
      <col>55</col>
      <colOff>11906</colOff>
      <row>27</row>
      <rowOff>71438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56</col>
      <colOff>130969</colOff>
      <row>9</row>
      <rowOff>47625</rowOff>
    </from>
    <to>
      <col>63</col>
      <colOff>83343</colOff>
      <row>27</row>
      <rowOff>107156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64</col>
      <colOff>35718</colOff>
      <row>9</row>
      <rowOff>47625</rowOff>
    </from>
    <to>
      <col>70</col>
      <colOff>654842</colOff>
      <row>27</row>
      <rowOff>107156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72</col>
      <colOff>23812</colOff>
      <row>9</row>
      <rowOff>0</rowOff>
    </from>
    <to>
      <col>78</col>
      <colOff>642936</colOff>
      <row>27</row>
      <rowOff>59531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79</col>
      <colOff>631030</colOff>
      <row>8</row>
      <rowOff>190500</rowOff>
    </from>
    <to>
      <col>87</col>
      <colOff>11905</colOff>
      <row>27</row>
      <rowOff>47625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  <twoCellAnchor>
    <from>
      <col>88</col>
      <colOff>11906</colOff>
      <row>8</row>
      <rowOff>190500</rowOff>
    </from>
    <to>
      <col>95</col>
      <colOff>59531</colOff>
      <row>27</row>
      <rowOff>47625</rowOff>
    </to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15</col>
      <colOff>26896</colOff>
      <row>20</row>
      <rowOff>0</rowOff>
    </from>
    <to>
      <col>26</col>
      <colOff>179295</colOff>
      <row>38</row>
      <rowOff>11206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56029</colOff>
      <row>0</row>
      <rowOff>56028</rowOff>
    </from>
    <to>
      <col>26</col>
      <colOff>268942</colOff>
      <row>19</row>
      <rowOff>11206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15</col>
      <colOff>31376</colOff>
      <row>40</row>
      <rowOff>89646</rowOff>
    </from>
    <to>
      <col>26</col>
      <colOff>44824</colOff>
      <row>59</row>
      <rowOff>123265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15</col>
      <colOff>67234</colOff>
      <row>60</row>
      <rowOff>190499</rowOff>
    </from>
    <to>
      <col>26</col>
      <colOff>156883</colOff>
      <row>77</row>
      <rowOff>201706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15</col>
      <colOff>67234</colOff>
      <row>78</row>
      <rowOff>190499</rowOff>
    </from>
    <to>
      <col>26</col>
      <colOff>156883</colOff>
      <row>95</row>
      <rowOff>201706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15</col>
      <colOff>67234</colOff>
      <row>96</row>
      <rowOff>190499</rowOff>
    </from>
    <to>
      <col>26</col>
      <colOff>156883</colOff>
      <row>113</row>
      <rowOff>201706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71718</colOff>
      <row>55</row>
      <rowOff>156882</rowOff>
    </from>
    <to>
      <col>39</col>
      <colOff>212911</colOff>
      <row>75</row>
      <rowOff>156882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</col>
      <colOff>78442</colOff>
      <row>18</row>
      <rowOff>123262</rowOff>
    </from>
    <to>
      <col>39</col>
      <colOff>302557</colOff>
      <row>37</row>
      <rowOff>212912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</col>
      <colOff>33618</colOff>
      <row>94</row>
      <rowOff>212910</rowOff>
    </from>
    <to>
      <col>39</col>
      <colOff>358587</colOff>
      <row>116</row>
      <rowOff>123265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0</colOff>
      <row>136</row>
      <rowOff>134471</rowOff>
    </from>
    <to>
      <col>39</col>
      <colOff>425823</colOff>
      <row>157</row>
      <rowOff>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2</col>
      <colOff>0</colOff>
      <row>177</row>
      <rowOff>0</rowOff>
    </from>
    <to>
      <col>39</col>
      <colOff>425823</colOff>
      <row>197</row>
      <rowOff>89646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2</col>
      <colOff>0</colOff>
      <row>217</row>
      <rowOff>0</rowOff>
    </from>
    <to>
      <col>39</col>
      <colOff>425823</colOff>
      <row>237</row>
      <rowOff>89646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externalLinks/_rels/externalLink1.xml.rels><Relationships xmlns="http://schemas.openxmlformats.org/package/2006/relationships"><Relationship Id="rId1" Target="file:///\\43.82.219.107\csc%20resource%20data\Documents%20and%20Settings\5109200952\Local%20Settings\Temporary%20Internet%20Files\Content.Outlook\WDB07HEM\FY11_Project_Data_SDD2_11050%20(2).xlsx" TargetMode="External" Type="http://schemas.openxmlformats.org/officeDocument/2006/relationships/externalLinkPath" /></Relationships>
</file>

<file path=xl/externalLinks/_rels/externalLink2.xml.rels><Relationships xmlns="http://schemas.openxmlformats.org/package/2006/relationships"><Relationship Id="rId1" Target="file:///\\43.82.80.133\Division\FA\Control\FY09\FY09%201Q&#20104;&#24819;\Estimation(Feb-Apr)_FY09.xls" TargetMode="External" Type="http://schemas.openxmlformats.org/officeDocument/2006/relationships/externalLinkPath" /></Relationships>
</file>

<file path=xl/externalLinks/_rels/externalLink3.xml.rels><Relationships xmlns="http://schemas.openxmlformats.org/package/2006/relationships"><Relationship Id="rId1" Target="/Work/FACG/0.BPR/FY18/201805/PL%20for%20Div/SET%20PL/&#9733;FY18%20Apr%20monthly%20report_20180508.xlsx" TargetMode="External" Type="http://schemas.openxmlformats.org/officeDocument/2006/relationships/externalLinkPath" /></Relationships>
</file>

<file path=xl/externalLinks/_rels/externalLink4.xml.rels><Relationships xmlns="http://schemas.openxmlformats.org/package/2006/relationships"><Relationship Id="rId1" Target="file:///C:\Work\FACG\5.Contract\3.Revenue\FY16\201611\&#9733;FY16%20monthly_201611.xlsx" TargetMode="External" Type="http://schemas.openxmlformats.org/officeDocument/2006/relationships/externalLinkPath" /></Relationships>
</file>

<file path=xl/externalLinks/_rels/externalLink5.xml.rels><Relationships xmlns="http://schemas.openxmlformats.org/package/2006/relationships"><Relationship Id="rId1" Target="&#9733;FY18%20monthly%20report.xlsx" TargetMode="External" Type="http://schemas.openxmlformats.org/officeDocument/2006/relationships/externalLinkPath" /></Relationships>
</file>

<file path=xl/externalLinks/_rels/externalLink6.xml.rels><Relationships xmlns="http://schemas.openxmlformats.org/package/2006/relationships"><Relationship Id="rId1" Target="201806/EPF%20Report/&#9733;FY18%20Jun%20monthly%20report_20180712.xlsx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ummary"/>
      <sheetName val="TDG_BBW_APP"/>
      <sheetName val="TDG_BBW_MW"/>
      <sheetName val="TDG_SSD_EmbeddedSoft"/>
      <sheetName val="TDG_SSD_FundamentalTech"/>
      <sheetName val="TDG_SSD_CoreSystem"/>
      <sheetName val="SBG_Skywolf"/>
      <sheetName val="SBG_AllinOne"/>
      <sheetName val="VSS_D&amp;E_Onvif"/>
      <sheetName val="SDG_PI&amp;S_Tool"/>
      <sheetName val="TDG_NSD_HEN"/>
      <sheetName val="TDG_HIT"/>
      <sheetName val="STMD_Toolsmaint"/>
      <sheetName val="Members List"/>
      <sheetName val="RB caculation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Data Table"/>
      <sheetName val="Act-Bud"/>
      <sheetName val="Rev.by PJ"/>
      <sheetName val="Revenue DB"/>
      <sheetName val="Cost DB"/>
      <sheetName val="HC Data"/>
      <sheetName val="Booking Data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>
        <row r="12">
          <cell r="B12" t="str">
            <v>Chinese Name</v>
          </cell>
          <cell r="C12" t="str">
            <v>English Name</v>
          </cell>
          <cell r="D12" t="str">
            <v>Dept.</v>
          </cell>
          <cell r="E12" t="str">
            <v>Sec.</v>
          </cell>
          <cell r="F12" t="str">
            <v>Level</v>
          </cell>
          <cell r="G12" t="str">
            <v>Rate</v>
          </cell>
          <cell r="H12" t="str">
            <v>Capacity%</v>
          </cell>
          <cell r="I12" t="str">
            <v>Actual Labor</v>
          </cell>
          <cell r="J12" t="str">
            <v>Personnel allocation</v>
          </cell>
          <cell r="K12" t="str">
            <v>Travelling Exp.</v>
          </cell>
          <cell r="L12" t="str">
            <v>Travelling allocation</v>
          </cell>
          <cell r="M12" t="str">
            <v>Other allcation</v>
          </cell>
        </row>
        <row r="13">
          <cell r="B13" t="str">
            <v>黄浩</v>
          </cell>
          <cell r="C13" t="str">
            <v>Evan Huang</v>
          </cell>
          <cell r="D13" t="str">
            <v>Dept2</v>
          </cell>
          <cell r="E13" t="str">
            <v>Dept2</v>
          </cell>
          <cell r="F13" t="str">
            <v>SM</v>
          </cell>
          <cell r="G13">
            <v>0</v>
          </cell>
          <cell r="H13">
            <v>0</v>
          </cell>
          <cell r="I13">
            <v>0</v>
          </cell>
          <cell r="J13" t="e">
            <v>#DIV/0!</v>
          </cell>
        </row>
        <row r="14">
          <cell r="B14" t="str">
            <v>俞康</v>
          </cell>
          <cell r="C14" t="str">
            <v>Harry Yu</v>
          </cell>
          <cell r="D14" t="str">
            <v>testing</v>
          </cell>
          <cell r="E14" t="str">
            <v>testing</v>
          </cell>
          <cell r="F14" t="str">
            <v>AGM</v>
          </cell>
          <cell r="G14">
            <v>0</v>
          </cell>
          <cell r="H14">
            <v>0</v>
          </cell>
          <cell r="I14">
            <v>0</v>
          </cell>
          <cell r="J14" t="e">
            <v>#DIV/0!</v>
          </cell>
        </row>
        <row r="15">
          <cell r="B15" t="str">
            <v>赵怡</v>
          </cell>
          <cell r="C15" t="str">
            <v>Zhao Yi</v>
          </cell>
          <cell r="D15" t="str">
            <v>Dept.1</v>
          </cell>
          <cell r="E15" t="str">
            <v>Dept.1</v>
          </cell>
          <cell r="F15" t="str">
            <v>AGM</v>
          </cell>
          <cell r="G15">
            <v>0</v>
          </cell>
          <cell r="H15">
            <v>0</v>
          </cell>
          <cell r="I15">
            <v>0</v>
          </cell>
          <cell r="J15" t="e">
            <v>#DIV/0!</v>
          </cell>
        </row>
        <row r="16">
          <cell r="B16" t="str">
            <v>林瑜</v>
          </cell>
          <cell r="C16" t="str">
            <v>Rebecca Lin</v>
          </cell>
          <cell r="D16" t="str">
            <v>P/C</v>
          </cell>
          <cell r="E16" t="str">
            <v>Process</v>
          </cell>
          <cell r="F16" t="str">
            <v>M</v>
          </cell>
          <cell r="G16">
            <v>56000</v>
          </cell>
          <cell r="H16">
            <v>0</v>
          </cell>
          <cell r="I16">
            <v>0</v>
          </cell>
          <cell r="J16" t="e">
            <v>#DIV/0!</v>
          </cell>
        </row>
        <row r="17">
          <cell r="B17" t="str">
            <v>王峥</v>
          </cell>
          <cell r="C17" t="str">
            <v>James Wang</v>
          </cell>
          <cell r="D17" t="str">
            <v>testing</v>
          </cell>
          <cell r="E17" t="str">
            <v>testing</v>
          </cell>
          <cell r="F17" t="str">
            <v>M</v>
          </cell>
          <cell r="G17">
            <v>56000</v>
          </cell>
          <cell r="H17">
            <v>0</v>
          </cell>
          <cell r="I17">
            <v>0</v>
          </cell>
          <cell r="J17" t="e">
            <v>#DIV/0!</v>
          </cell>
        </row>
        <row r="18">
          <cell r="B18" t="str">
            <v>张立坚</v>
          </cell>
          <cell r="C18" t="str">
            <v>Fisher Zhang</v>
          </cell>
          <cell r="D18" t="str">
            <v>Dept 3</v>
          </cell>
          <cell r="E18" t="str">
            <v>Section 1</v>
          </cell>
          <cell r="F18" t="str">
            <v>M</v>
          </cell>
          <cell r="G18">
            <v>56000</v>
          </cell>
          <cell r="H18">
            <v>0</v>
          </cell>
          <cell r="I18">
            <v>0</v>
          </cell>
          <cell r="J18" t="e">
            <v>#DIV/0!</v>
          </cell>
        </row>
        <row r="19">
          <cell r="B19" t="str">
            <v>陈琳</v>
          </cell>
          <cell r="C19" t="str">
            <v>Linda Chen</v>
          </cell>
          <cell r="D19" t="str">
            <v>P/C</v>
          </cell>
          <cell r="E19" t="str">
            <v>Process</v>
          </cell>
          <cell r="F19" t="str">
            <v>AM</v>
          </cell>
          <cell r="G19">
            <v>49400</v>
          </cell>
          <cell r="H19">
            <v>0</v>
          </cell>
          <cell r="I19">
            <v>0</v>
          </cell>
          <cell r="J19" t="e">
            <v>#DIV/0!</v>
          </cell>
        </row>
        <row r="20">
          <cell r="B20" t="str">
            <v>马东莺</v>
          </cell>
          <cell r="C20" t="str">
            <v>Mandy Ma</v>
          </cell>
          <cell r="D20" t="str">
            <v>P/C</v>
          </cell>
          <cell r="E20" t="str">
            <v>Process</v>
          </cell>
          <cell r="F20" t="str">
            <v>SV</v>
          </cell>
          <cell r="G20">
            <v>43100</v>
          </cell>
          <cell r="H20">
            <v>0</v>
          </cell>
          <cell r="I20">
            <v>0</v>
          </cell>
          <cell r="J20" t="e">
            <v>#DIV/0!</v>
          </cell>
        </row>
        <row r="21">
          <cell r="B21" t="str">
            <v>李彬</v>
          </cell>
          <cell r="C21" t="str">
            <v>Candy Li</v>
          </cell>
          <cell r="D21" t="str">
            <v>testing</v>
          </cell>
          <cell r="E21" t="str">
            <v>testing</v>
          </cell>
          <cell r="F21" t="str">
            <v>SV</v>
          </cell>
          <cell r="G21">
            <v>43100</v>
          </cell>
          <cell r="H21">
            <v>0</v>
          </cell>
          <cell r="I21">
            <v>0</v>
          </cell>
          <cell r="J21" t="e">
            <v>#DIV/0!</v>
          </cell>
        </row>
        <row r="22">
          <cell r="B22" t="str">
            <v>徐雪丹</v>
          </cell>
          <cell r="C22" t="str">
            <v>Rebecca Xu</v>
          </cell>
          <cell r="D22" t="str">
            <v>P/C</v>
          </cell>
          <cell r="E22" t="str">
            <v>control Sec</v>
          </cell>
          <cell r="F22" t="str">
            <v>SV</v>
          </cell>
          <cell r="G22">
            <v>43100</v>
          </cell>
          <cell r="H22">
            <v>0</v>
          </cell>
          <cell r="I22">
            <v>0</v>
          </cell>
          <cell r="J22" t="e">
            <v>#DIV/0!</v>
          </cell>
        </row>
        <row r="23">
          <cell r="B23" t="str">
            <v>王路</v>
          </cell>
          <cell r="C23" t="str">
            <v>Lu Wang</v>
          </cell>
          <cell r="D23" t="str">
            <v>Dept 3</v>
          </cell>
          <cell r="E23" t="str">
            <v>Dept 3</v>
          </cell>
          <cell r="F23" t="str">
            <v>SM</v>
          </cell>
          <cell r="G23">
            <v>0</v>
          </cell>
          <cell r="H23">
            <v>0</v>
          </cell>
          <cell r="I23">
            <v>0</v>
          </cell>
          <cell r="J23" t="e">
            <v>#DIV/0!</v>
          </cell>
        </row>
        <row r="24">
          <cell r="B24" t="str">
            <v>冯瑛</v>
          </cell>
          <cell r="C24" t="str">
            <v>Ying Feng</v>
          </cell>
          <cell r="D24" t="str">
            <v>P/C</v>
          </cell>
          <cell r="E24" t="str">
            <v>control Sec</v>
          </cell>
          <cell r="F24" t="str">
            <v>G</v>
          </cell>
          <cell r="G24">
            <v>32600</v>
          </cell>
          <cell r="H24">
            <v>0</v>
          </cell>
          <cell r="I24">
            <v>0</v>
          </cell>
          <cell r="J24" t="e">
            <v>#DIV/0!</v>
          </cell>
        </row>
        <row r="25">
          <cell r="B25" t="str">
            <v>黄晓宁</v>
          </cell>
          <cell r="C25" t="str">
            <v>Echo Huang</v>
          </cell>
          <cell r="D25" t="str">
            <v>P/C</v>
          </cell>
          <cell r="E25" t="str">
            <v>Process</v>
          </cell>
          <cell r="F25" t="str">
            <v>SV</v>
          </cell>
          <cell r="G25">
            <v>43100</v>
          </cell>
          <cell r="H25">
            <v>0</v>
          </cell>
          <cell r="I25">
            <v>0</v>
          </cell>
          <cell r="J25" t="e">
            <v>#DIV/0!</v>
          </cell>
        </row>
        <row r="26">
          <cell r="B26" t="str">
            <v>安丽芳</v>
          </cell>
          <cell r="C26" t="str">
            <v>Lifang An</v>
          </cell>
          <cell r="D26" t="str">
            <v>Dept.1</v>
          </cell>
          <cell r="E26" t="str">
            <v>Section 3</v>
          </cell>
          <cell r="F26" t="str">
            <v>AM</v>
          </cell>
          <cell r="G26">
            <v>49400</v>
          </cell>
          <cell r="H26">
            <v>0</v>
          </cell>
          <cell r="I26">
            <v>0</v>
          </cell>
          <cell r="J26" t="e">
            <v>#DIV/0!</v>
          </cell>
        </row>
        <row r="27">
          <cell r="B27" t="str">
            <v>熊珏</v>
          </cell>
          <cell r="C27" t="str">
            <v>Lily Xiong</v>
          </cell>
          <cell r="D27" t="str">
            <v>P/C</v>
          </cell>
          <cell r="E27" t="str">
            <v>control Sec</v>
          </cell>
          <cell r="F27" t="str">
            <v>G</v>
          </cell>
          <cell r="G27">
            <v>32600</v>
          </cell>
          <cell r="H27">
            <v>0</v>
          </cell>
          <cell r="I27">
            <v>0</v>
          </cell>
          <cell r="J27" t="e">
            <v>#DIV/0!</v>
          </cell>
        </row>
        <row r="28">
          <cell r="B28" t="str">
            <v>张怡</v>
          </cell>
          <cell r="C28" t="str">
            <v>Summer Zhang</v>
          </cell>
          <cell r="D28" t="str">
            <v>P/C</v>
          </cell>
          <cell r="E28" t="str">
            <v>Process</v>
          </cell>
          <cell r="F28" t="str">
            <v>G</v>
          </cell>
          <cell r="G28">
            <v>32600</v>
          </cell>
          <cell r="H28">
            <v>0</v>
          </cell>
          <cell r="I28">
            <v>0</v>
          </cell>
          <cell r="J28" t="e">
            <v>#DIV/0!</v>
          </cell>
        </row>
        <row r="29">
          <cell r="B29" t="str">
            <v>马立杰</v>
          </cell>
          <cell r="C29" t="str">
            <v>Thinking Ma</v>
          </cell>
          <cell r="D29" t="str">
            <v>P/C</v>
          </cell>
          <cell r="E29" t="str">
            <v>Process</v>
          </cell>
          <cell r="F29" t="str">
            <v>SV</v>
          </cell>
          <cell r="G29">
            <v>43100</v>
          </cell>
          <cell r="H29">
            <v>0</v>
          </cell>
          <cell r="I29">
            <v>0</v>
          </cell>
          <cell r="J29" t="e">
            <v>#DIV/0!</v>
          </cell>
        </row>
        <row r="30">
          <cell r="B30" t="str">
            <v>曹攀</v>
          </cell>
          <cell r="C30" t="str">
            <v>Pan Cao</v>
          </cell>
          <cell r="D30" t="str">
            <v>testing</v>
          </cell>
          <cell r="E30" t="str">
            <v>testing</v>
          </cell>
          <cell r="F30" t="str">
            <v>AM</v>
          </cell>
          <cell r="G30">
            <v>49400</v>
          </cell>
          <cell r="H30">
            <v>0</v>
          </cell>
          <cell r="I30">
            <v>0</v>
          </cell>
          <cell r="J30" t="e">
            <v>#DIV/0!</v>
          </cell>
        </row>
        <row r="31">
          <cell r="B31" t="str">
            <v>辛联</v>
          </cell>
          <cell r="C31" t="str">
            <v>Lillian Xin</v>
          </cell>
          <cell r="D31" t="str">
            <v>P/C</v>
          </cell>
          <cell r="E31" t="str">
            <v>control Sec</v>
          </cell>
          <cell r="F31" t="str">
            <v>M</v>
          </cell>
          <cell r="G31">
            <v>56000</v>
          </cell>
          <cell r="H31">
            <v>0</v>
          </cell>
          <cell r="I31">
            <v>0</v>
          </cell>
          <cell r="J31" t="e">
            <v>#DIV/0!</v>
          </cell>
        </row>
        <row r="32">
          <cell r="B32" t="str">
            <v>TAKASHIOKUBO</v>
          </cell>
          <cell r="C32" t="str">
            <v>TAKASHIOKUBO</v>
          </cell>
          <cell r="F32" t="str">
            <v>GM</v>
          </cell>
          <cell r="G32">
            <v>0</v>
          </cell>
          <cell r="H32">
            <v>0</v>
          </cell>
          <cell r="I32">
            <v>0</v>
          </cell>
          <cell r="J32" t="e">
            <v>#DIV/0!</v>
          </cell>
        </row>
        <row r="33">
          <cell r="B33" t="str">
            <v>李翔龙</v>
          </cell>
          <cell r="C33" t="str">
            <v>Owen Li</v>
          </cell>
          <cell r="D33" t="str">
            <v>testing</v>
          </cell>
          <cell r="E33" t="str">
            <v>testing</v>
          </cell>
          <cell r="F33" t="str">
            <v>M</v>
          </cell>
          <cell r="G33">
            <v>56000</v>
          </cell>
          <cell r="H33">
            <v>0</v>
          </cell>
          <cell r="I33">
            <v>0</v>
          </cell>
          <cell r="J33" t="e">
            <v>#DIV/0!</v>
          </cell>
        </row>
        <row r="34">
          <cell r="B34" t="str">
            <v>刘敬鹏</v>
          </cell>
          <cell r="C34" t="str">
            <v>George Liu</v>
          </cell>
          <cell r="D34" t="str">
            <v>Dept.1</v>
          </cell>
          <cell r="E34" t="str">
            <v>Section 3</v>
          </cell>
          <cell r="F34" t="str">
            <v>M</v>
          </cell>
          <cell r="G34">
            <v>56000</v>
          </cell>
          <cell r="H34">
            <v>0</v>
          </cell>
          <cell r="I34">
            <v>0</v>
          </cell>
          <cell r="J34" t="e">
            <v>#DIV/0!</v>
          </cell>
        </row>
        <row r="35">
          <cell r="B35" t="str">
            <v>刘迎欢</v>
          </cell>
          <cell r="C35" t="str">
            <v>Michael Liu</v>
          </cell>
          <cell r="D35" t="str">
            <v>Dept.1</v>
          </cell>
          <cell r="E35" t="str">
            <v>Section 1</v>
          </cell>
          <cell r="F35" t="str">
            <v>M</v>
          </cell>
          <cell r="G35">
            <v>56000</v>
          </cell>
          <cell r="H35">
            <v>0</v>
          </cell>
          <cell r="I35">
            <v>0</v>
          </cell>
          <cell r="J35" t="e">
            <v>#DIV/0!</v>
          </cell>
        </row>
        <row r="36">
          <cell r="B36" t="str">
            <v>何勇</v>
          </cell>
          <cell r="C36" t="str">
            <v>Sunny He</v>
          </cell>
          <cell r="D36" t="str">
            <v>Dept 3</v>
          </cell>
          <cell r="E36" t="str">
            <v>Section 1</v>
          </cell>
          <cell r="F36" t="str">
            <v>AM</v>
          </cell>
          <cell r="G36">
            <v>49400</v>
          </cell>
          <cell r="H36">
            <v>0</v>
          </cell>
          <cell r="I36">
            <v>0</v>
          </cell>
          <cell r="J36" t="e">
            <v>#DIV/0!</v>
          </cell>
        </row>
        <row r="37">
          <cell r="B37" t="str">
            <v>黄智雄</v>
          </cell>
          <cell r="C37" t="str">
            <v>Dominic Huang</v>
          </cell>
          <cell r="D37" t="str">
            <v>Dept 3</v>
          </cell>
          <cell r="E37" t="str">
            <v>Section 2</v>
          </cell>
          <cell r="F37" t="str">
            <v>AM</v>
          </cell>
          <cell r="G37">
            <v>49400</v>
          </cell>
          <cell r="H37">
            <v>0</v>
          </cell>
          <cell r="I37">
            <v>0</v>
          </cell>
          <cell r="J37" t="e">
            <v>#DIV/0!</v>
          </cell>
        </row>
        <row r="38">
          <cell r="B38" t="str">
            <v>高峰</v>
          </cell>
          <cell r="C38" t="str">
            <v>Feng Gao</v>
          </cell>
          <cell r="D38" t="str">
            <v>Dept2</v>
          </cell>
          <cell r="E38" t="str">
            <v>Middleware</v>
          </cell>
          <cell r="F38" t="str">
            <v>M</v>
          </cell>
          <cell r="G38">
            <v>56000</v>
          </cell>
          <cell r="H38">
            <v>0</v>
          </cell>
          <cell r="I38">
            <v>0</v>
          </cell>
          <cell r="J38" t="e">
            <v>#DIV/0!</v>
          </cell>
        </row>
        <row r="39">
          <cell r="B39" t="str">
            <v>苏敏</v>
          </cell>
          <cell r="C39" t="str">
            <v>Friendy Su</v>
          </cell>
          <cell r="D39" t="str">
            <v>Dept2</v>
          </cell>
          <cell r="E39" t="str">
            <v>Driver</v>
          </cell>
          <cell r="F39" t="str">
            <v>AM</v>
          </cell>
          <cell r="G39">
            <v>49400</v>
          </cell>
          <cell r="H39">
            <v>0</v>
          </cell>
          <cell r="I39">
            <v>0</v>
          </cell>
          <cell r="J39" t="e">
            <v>#DIV/0!</v>
          </cell>
        </row>
        <row r="40">
          <cell r="B40" t="str">
            <v>孙雷</v>
          </cell>
          <cell r="C40" t="str">
            <v>Ryan Sun</v>
          </cell>
          <cell r="D40" t="str">
            <v>Dept 3</v>
          </cell>
          <cell r="E40" t="str">
            <v>Section 2</v>
          </cell>
          <cell r="F40" t="str">
            <v>M</v>
          </cell>
          <cell r="G40">
            <v>56000</v>
          </cell>
          <cell r="H40">
            <v>0</v>
          </cell>
          <cell r="I40">
            <v>0</v>
          </cell>
          <cell r="J40" t="e">
            <v>#DIV/0!</v>
          </cell>
        </row>
        <row r="41">
          <cell r="B41" t="str">
            <v>潘逢治</v>
          </cell>
          <cell r="C41" t="str">
            <v>Evens Pan</v>
          </cell>
          <cell r="D41" t="str">
            <v>Dept.1</v>
          </cell>
          <cell r="E41" t="str">
            <v>Section 1</v>
          </cell>
          <cell r="F41" t="str">
            <v>AM</v>
          </cell>
          <cell r="G41">
            <v>49400</v>
          </cell>
          <cell r="H41">
            <v>0</v>
          </cell>
          <cell r="I41">
            <v>0</v>
          </cell>
          <cell r="J41" t="e">
            <v>#DIV/0!</v>
          </cell>
        </row>
        <row r="42">
          <cell r="B42" t="str">
            <v>葛晓江</v>
          </cell>
          <cell r="C42" t="str">
            <v>Gray Ge</v>
          </cell>
          <cell r="D42" t="str">
            <v>Dept2</v>
          </cell>
          <cell r="E42" t="str">
            <v>Middleware</v>
          </cell>
          <cell r="F42" t="str">
            <v>AM</v>
          </cell>
          <cell r="G42">
            <v>49400</v>
          </cell>
          <cell r="H42">
            <v>0</v>
          </cell>
          <cell r="I42">
            <v>0</v>
          </cell>
          <cell r="J42" t="e">
            <v>#DIV/0!</v>
          </cell>
        </row>
        <row r="43">
          <cell r="B43" t="str">
            <v>李凤梧</v>
          </cell>
          <cell r="C43" t="str">
            <v>Woody Li</v>
          </cell>
          <cell r="D43" t="str">
            <v>Dept2</v>
          </cell>
          <cell r="E43" t="str">
            <v>Middleware</v>
          </cell>
          <cell r="F43" t="str">
            <v>AM</v>
          </cell>
          <cell r="G43">
            <v>49400</v>
          </cell>
          <cell r="H43">
            <v>0</v>
          </cell>
          <cell r="I43">
            <v>0</v>
          </cell>
          <cell r="J43" t="e">
            <v>#DIV/0!</v>
          </cell>
        </row>
        <row r="44">
          <cell r="B44" t="str">
            <v>檀斌</v>
          </cell>
          <cell r="C44" t="str">
            <v>Stevens Tan</v>
          </cell>
          <cell r="D44" t="str">
            <v>Dept2</v>
          </cell>
          <cell r="E44" t="str">
            <v>System</v>
          </cell>
          <cell r="F44" t="str">
            <v>M</v>
          </cell>
          <cell r="G44">
            <v>56000</v>
          </cell>
          <cell r="H44">
            <v>0</v>
          </cell>
          <cell r="I44">
            <v>0</v>
          </cell>
          <cell r="J44" t="e">
            <v>#DIV/0!</v>
          </cell>
        </row>
        <row r="45">
          <cell r="B45" t="str">
            <v>陆恩诞</v>
          </cell>
          <cell r="C45" t="str">
            <v>Daniel Lu</v>
          </cell>
          <cell r="D45" t="str">
            <v>Dept 3</v>
          </cell>
          <cell r="E45" t="str">
            <v>Section 2</v>
          </cell>
          <cell r="F45" t="str">
            <v>SV</v>
          </cell>
          <cell r="G45">
            <v>43100</v>
          </cell>
          <cell r="H45">
            <v>0</v>
          </cell>
          <cell r="I45">
            <v>0</v>
          </cell>
          <cell r="J45" t="e">
            <v>#DIV/0!</v>
          </cell>
        </row>
        <row r="46">
          <cell r="B46" t="str">
            <v>夏卫峰</v>
          </cell>
          <cell r="C46" t="str">
            <v>Jacky Xia</v>
          </cell>
          <cell r="D46" t="str">
            <v>Dept.1</v>
          </cell>
          <cell r="E46" t="str">
            <v>Section 1</v>
          </cell>
          <cell r="F46" t="str">
            <v>AM</v>
          </cell>
          <cell r="G46">
            <v>49400</v>
          </cell>
          <cell r="H46">
            <v>0</v>
          </cell>
          <cell r="I46">
            <v>0</v>
          </cell>
          <cell r="J46" t="e">
            <v>#DIV/0!</v>
          </cell>
        </row>
        <row r="47">
          <cell r="B47" t="str">
            <v>张莉</v>
          </cell>
          <cell r="C47" t="str">
            <v>Lili Zhang</v>
          </cell>
          <cell r="D47" t="str">
            <v>testing</v>
          </cell>
          <cell r="E47" t="str">
            <v>testing</v>
          </cell>
          <cell r="F47" t="str">
            <v>SV</v>
          </cell>
          <cell r="G47">
            <v>43100</v>
          </cell>
          <cell r="H47">
            <v>0</v>
          </cell>
          <cell r="I47">
            <v>0</v>
          </cell>
          <cell r="J47" t="e">
            <v>#DIV/0!</v>
          </cell>
        </row>
        <row r="48">
          <cell r="B48" t="str">
            <v>龚凌</v>
          </cell>
          <cell r="C48" t="str">
            <v>Linda Gong</v>
          </cell>
          <cell r="D48" t="str">
            <v>testing</v>
          </cell>
          <cell r="E48" t="str">
            <v>testing</v>
          </cell>
          <cell r="F48" t="str">
            <v>SV</v>
          </cell>
          <cell r="G48">
            <v>43100</v>
          </cell>
          <cell r="H48">
            <v>0</v>
          </cell>
          <cell r="I48">
            <v>0</v>
          </cell>
          <cell r="J48" t="e">
            <v>#DIV/0!</v>
          </cell>
        </row>
        <row r="49">
          <cell r="B49" t="str">
            <v>徐昱</v>
          </cell>
          <cell r="C49" t="str">
            <v>Bill Xu</v>
          </cell>
          <cell r="D49" t="str">
            <v>testing</v>
          </cell>
          <cell r="E49" t="str">
            <v>testing</v>
          </cell>
          <cell r="F49" t="str">
            <v>AM</v>
          </cell>
          <cell r="G49">
            <v>49400</v>
          </cell>
          <cell r="H49">
            <v>0</v>
          </cell>
          <cell r="I49">
            <v>0</v>
          </cell>
          <cell r="J49" t="e">
            <v>#DIV/0!</v>
          </cell>
        </row>
        <row r="50">
          <cell r="B50" t="str">
            <v>陆文韬</v>
          </cell>
          <cell r="C50" t="str">
            <v>Lu Wentao</v>
          </cell>
          <cell r="D50" t="str">
            <v>testing</v>
          </cell>
          <cell r="E50" t="str">
            <v>testing</v>
          </cell>
          <cell r="F50" t="str">
            <v>SV</v>
          </cell>
          <cell r="G50">
            <v>43100</v>
          </cell>
          <cell r="H50">
            <v>0</v>
          </cell>
          <cell r="I50">
            <v>0</v>
          </cell>
          <cell r="J50" t="e">
            <v>#DIV/0!</v>
          </cell>
        </row>
        <row r="51">
          <cell r="B51" t="str">
            <v>陈颖</v>
          </cell>
          <cell r="C51" t="str">
            <v>Cici Chen</v>
          </cell>
          <cell r="D51" t="str">
            <v>testing</v>
          </cell>
          <cell r="E51" t="str">
            <v>testing</v>
          </cell>
          <cell r="F51" t="str">
            <v>G</v>
          </cell>
          <cell r="G51">
            <v>32600</v>
          </cell>
          <cell r="H51">
            <v>0</v>
          </cell>
          <cell r="I51">
            <v>0</v>
          </cell>
          <cell r="J51" t="e">
            <v>#DIV/0!</v>
          </cell>
        </row>
        <row r="52">
          <cell r="B52" t="str">
            <v>刘国平</v>
          </cell>
          <cell r="C52" t="str">
            <v>Terran Liu</v>
          </cell>
          <cell r="D52" t="str">
            <v>Dept2</v>
          </cell>
          <cell r="E52" t="str">
            <v>Middleware</v>
          </cell>
          <cell r="F52" t="str">
            <v>SV</v>
          </cell>
          <cell r="G52">
            <v>43100</v>
          </cell>
          <cell r="H52">
            <v>0</v>
          </cell>
          <cell r="I52">
            <v>0</v>
          </cell>
          <cell r="J52" t="e">
            <v>#DIV/0!</v>
          </cell>
        </row>
        <row r="53">
          <cell r="B53" t="str">
            <v>叶祥振</v>
          </cell>
          <cell r="C53" t="str">
            <v>Bird Ye</v>
          </cell>
          <cell r="D53" t="str">
            <v>Dept2</v>
          </cell>
          <cell r="E53" t="str">
            <v>Driver</v>
          </cell>
          <cell r="F53" t="str">
            <v>SV</v>
          </cell>
          <cell r="G53">
            <v>43100</v>
          </cell>
          <cell r="H53">
            <v>0</v>
          </cell>
          <cell r="I53">
            <v>0</v>
          </cell>
          <cell r="J53" t="e">
            <v>#DIV/0!</v>
          </cell>
        </row>
        <row r="54">
          <cell r="B54" t="str">
            <v>赵璐</v>
          </cell>
          <cell r="C54" t="str">
            <v>Lu Zhao</v>
          </cell>
          <cell r="D54" t="str">
            <v>Dept 3</v>
          </cell>
          <cell r="E54" t="str">
            <v>Section 2</v>
          </cell>
          <cell r="F54" t="str">
            <v>SV</v>
          </cell>
          <cell r="G54">
            <v>43100</v>
          </cell>
          <cell r="H54">
            <v>0</v>
          </cell>
          <cell r="I54">
            <v>0</v>
          </cell>
          <cell r="J54" t="e">
            <v>#DIV/0!</v>
          </cell>
        </row>
        <row r="55">
          <cell r="B55" t="str">
            <v>赵敏</v>
          </cell>
          <cell r="C55" t="str">
            <v>Min Zhao</v>
          </cell>
          <cell r="D55" t="str">
            <v>Dept2</v>
          </cell>
          <cell r="E55" t="str">
            <v>Middleware</v>
          </cell>
          <cell r="F55" t="str">
            <v>G</v>
          </cell>
          <cell r="G55">
            <v>32600</v>
          </cell>
          <cell r="H55">
            <v>0</v>
          </cell>
          <cell r="I55">
            <v>0</v>
          </cell>
          <cell r="J55" t="e">
            <v>#DIV/0!</v>
          </cell>
        </row>
        <row r="56">
          <cell r="B56" t="str">
            <v>卢佳艳</v>
          </cell>
          <cell r="C56" t="str">
            <v>Una Lu</v>
          </cell>
          <cell r="D56" t="str">
            <v>testing</v>
          </cell>
          <cell r="E56" t="str">
            <v>testing</v>
          </cell>
          <cell r="F56" t="str">
            <v>G</v>
          </cell>
          <cell r="G56">
            <v>32600</v>
          </cell>
          <cell r="H56">
            <v>0</v>
          </cell>
          <cell r="I56">
            <v>0</v>
          </cell>
          <cell r="J56" t="e">
            <v>#DIV/0!</v>
          </cell>
        </row>
        <row r="57">
          <cell r="B57" t="str">
            <v>黄旭明</v>
          </cell>
          <cell r="C57" t="str">
            <v>Tony Huang</v>
          </cell>
          <cell r="D57" t="str">
            <v>Dept.1</v>
          </cell>
          <cell r="E57" t="str">
            <v>Section 3</v>
          </cell>
          <cell r="F57" t="str">
            <v>SV</v>
          </cell>
          <cell r="G57">
            <v>43100</v>
          </cell>
          <cell r="H57">
            <v>0</v>
          </cell>
          <cell r="I57">
            <v>0</v>
          </cell>
          <cell r="J57" t="e">
            <v>#DIV/0!</v>
          </cell>
        </row>
        <row r="58">
          <cell r="B58" t="str">
            <v>周力佳</v>
          </cell>
          <cell r="C58" t="str">
            <v>Richard Zhou</v>
          </cell>
          <cell r="D58" t="str">
            <v>Dept 3</v>
          </cell>
          <cell r="E58" t="str">
            <v>Section 2</v>
          </cell>
          <cell r="F58" t="str">
            <v>AM</v>
          </cell>
          <cell r="G58">
            <v>49400</v>
          </cell>
          <cell r="H58">
            <v>0</v>
          </cell>
          <cell r="I58">
            <v>0</v>
          </cell>
          <cell r="J58" t="e">
            <v>#DIV/0!</v>
          </cell>
        </row>
        <row r="59">
          <cell r="B59" t="str">
            <v>卜罡</v>
          </cell>
          <cell r="C59" t="str">
            <v>Gang Bu</v>
          </cell>
          <cell r="D59" t="str">
            <v>Dept.1</v>
          </cell>
          <cell r="E59" t="str">
            <v>Section 3</v>
          </cell>
          <cell r="F59" t="str">
            <v>SV</v>
          </cell>
          <cell r="G59">
            <v>43100</v>
          </cell>
          <cell r="H59">
            <v>0</v>
          </cell>
          <cell r="I59">
            <v>0</v>
          </cell>
          <cell r="J59" t="e">
            <v>#DIV/0!</v>
          </cell>
        </row>
        <row r="60">
          <cell r="B60" t="str">
            <v>王笑凡</v>
          </cell>
          <cell r="C60" t="str">
            <v>Anderson Wang</v>
          </cell>
          <cell r="D60" t="str">
            <v>testing</v>
          </cell>
          <cell r="E60" t="str">
            <v>testing</v>
          </cell>
          <cell r="F60" t="str">
            <v>SV</v>
          </cell>
          <cell r="G60">
            <v>43100</v>
          </cell>
          <cell r="H60">
            <v>0</v>
          </cell>
          <cell r="I60">
            <v>0</v>
          </cell>
          <cell r="J60" t="e">
            <v>#DIV/0!</v>
          </cell>
        </row>
        <row r="61">
          <cell r="B61" t="str">
            <v>孙博</v>
          </cell>
          <cell r="C61" t="str">
            <v>Jimmy Sun</v>
          </cell>
          <cell r="D61" t="str">
            <v>testing</v>
          </cell>
          <cell r="E61" t="str">
            <v>testing</v>
          </cell>
          <cell r="F61" t="str">
            <v>G</v>
          </cell>
          <cell r="G61">
            <v>32600</v>
          </cell>
          <cell r="H61">
            <v>0</v>
          </cell>
          <cell r="I61">
            <v>0</v>
          </cell>
          <cell r="J61" t="e">
            <v>#DIV/0!</v>
          </cell>
        </row>
        <row r="62">
          <cell r="B62" t="str">
            <v>林锋</v>
          </cell>
          <cell r="C62" t="str">
            <v>Feng Lin</v>
          </cell>
          <cell r="D62" t="str">
            <v>Dept.1</v>
          </cell>
          <cell r="E62" t="str">
            <v>Section 2</v>
          </cell>
          <cell r="F62" t="str">
            <v>AM</v>
          </cell>
          <cell r="G62">
            <v>49400</v>
          </cell>
          <cell r="H62">
            <v>0</v>
          </cell>
          <cell r="I62">
            <v>0</v>
          </cell>
          <cell r="J62" t="e">
            <v>#DIV/0!</v>
          </cell>
        </row>
        <row r="63">
          <cell r="B63" t="str">
            <v>蔡华庆</v>
          </cell>
          <cell r="C63" t="str">
            <v>Chris Cai</v>
          </cell>
          <cell r="D63" t="str">
            <v>Dept.1</v>
          </cell>
          <cell r="E63" t="str">
            <v>Section 1</v>
          </cell>
          <cell r="F63" t="str">
            <v>SV</v>
          </cell>
          <cell r="G63">
            <v>43100</v>
          </cell>
          <cell r="H63">
            <v>0</v>
          </cell>
          <cell r="I63">
            <v>0</v>
          </cell>
          <cell r="J63" t="e">
            <v>#DIV/0!</v>
          </cell>
        </row>
        <row r="64">
          <cell r="B64" t="str">
            <v>章立</v>
          </cell>
          <cell r="C64" t="str">
            <v>Sawa Zhang</v>
          </cell>
          <cell r="D64" t="str">
            <v>Dept.1</v>
          </cell>
          <cell r="E64" t="str">
            <v>Section 1</v>
          </cell>
          <cell r="F64" t="str">
            <v>SV</v>
          </cell>
          <cell r="G64">
            <v>43100</v>
          </cell>
          <cell r="H64">
            <v>0</v>
          </cell>
          <cell r="I64">
            <v>0</v>
          </cell>
          <cell r="J64" t="e">
            <v>#DIV/0!</v>
          </cell>
        </row>
        <row r="65">
          <cell r="B65" t="str">
            <v>李勇</v>
          </cell>
          <cell r="C65" t="str">
            <v>Steven Li</v>
          </cell>
          <cell r="D65" t="str">
            <v>Dept 3</v>
          </cell>
          <cell r="E65" t="str">
            <v>Section 2</v>
          </cell>
          <cell r="F65" t="str">
            <v>SV</v>
          </cell>
          <cell r="G65">
            <v>43100</v>
          </cell>
          <cell r="H65">
            <v>0</v>
          </cell>
          <cell r="I65">
            <v>0</v>
          </cell>
          <cell r="J65" t="e">
            <v>#DIV/0!</v>
          </cell>
        </row>
        <row r="66">
          <cell r="B66" t="str">
            <v>柳家宁</v>
          </cell>
          <cell r="C66" t="str">
            <v>Gerald Liu</v>
          </cell>
          <cell r="D66" t="str">
            <v>Dept.1</v>
          </cell>
          <cell r="E66" t="str">
            <v>Section 2</v>
          </cell>
          <cell r="F66" t="str">
            <v>SV</v>
          </cell>
          <cell r="G66">
            <v>43100</v>
          </cell>
          <cell r="H66">
            <v>0</v>
          </cell>
          <cell r="I66">
            <v>0</v>
          </cell>
          <cell r="J66" t="e">
            <v>#DIV/0!</v>
          </cell>
        </row>
        <row r="67">
          <cell r="B67" t="str">
            <v>李立群</v>
          </cell>
          <cell r="C67" t="str">
            <v>Kevin Li</v>
          </cell>
          <cell r="D67" t="str">
            <v>Dept.1</v>
          </cell>
          <cell r="E67" t="str">
            <v>Section 3</v>
          </cell>
          <cell r="F67" t="str">
            <v>SV</v>
          </cell>
          <cell r="G67">
            <v>43100</v>
          </cell>
          <cell r="H67">
            <v>0</v>
          </cell>
          <cell r="I67">
            <v>0</v>
          </cell>
          <cell r="J67" t="e">
            <v>#DIV/0!</v>
          </cell>
        </row>
        <row r="68">
          <cell r="B68" t="str">
            <v>钮雪莲</v>
          </cell>
          <cell r="C68" t="str">
            <v>Xuelian Niu</v>
          </cell>
          <cell r="D68" t="str">
            <v>Dept.1</v>
          </cell>
          <cell r="E68" t="str">
            <v>Section 2</v>
          </cell>
          <cell r="F68" t="str">
            <v>SV</v>
          </cell>
          <cell r="G68">
            <v>43100</v>
          </cell>
          <cell r="H68">
            <v>0</v>
          </cell>
          <cell r="I68">
            <v>0</v>
          </cell>
          <cell r="J68" t="e">
            <v>#DIV/0!</v>
          </cell>
        </row>
        <row r="69">
          <cell r="B69" t="str">
            <v>朱雷平</v>
          </cell>
          <cell r="C69" t="str">
            <v>Leo Zhu</v>
          </cell>
          <cell r="D69" t="str">
            <v>Dept2</v>
          </cell>
          <cell r="E69" t="str">
            <v>Middleware</v>
          </cell>
          <cell r="F69" t="str">
            <v>G</v>
          </cell>
          <cell r="G69">
            <v>32600</v>
          </cell>
          <cell r="H69">
            <v>0</v>
          </cell>
          <cell r="I69">
            <v>0</v>
          </cell>
          <cell r="J69" t="e">
            <v>#DIV/0!</v>
          </cell>
        </row>
        <row r="70">
          <cell r="B70" t="str">
            <v>余磊</v>
          </cell>
          <cell r="C70" t="str">
            <v>Iris Yu</v>
          </cell>
          <cell r="D70" t="str">
            <v>Dept.1</v>
          </cell>
          <cell r="E70" t="str">
            <v>Section 1</v>
          </cell>
          <cell r="F70" t="str">
            <v>G</v>
          </cell>
          <cell r="G70">
            <v>32600</v>
          </cell>
          <cell r="H70">
            <v>0</v>
          </cell>
          <cell r="I70">
            <v>0</v>
          </cell>
          <cell r="J70" t="e">
            <v>#DIV/0!</v>
          </cell>
        </row>
        <row r="71">
          <cell r="B71" t="str">
            <v>钱昆</v>
          </cell>
          <cell r="C71" t="str">
            <v>Kun Qian</v>
          </cell>
          <cell r="D71" t="str">
            <v>Dept 3</v>
          </cell>
          <cell r="E71" t="str">
            <v>Section 2</v>
          </cell>
          <cell r="F71" t="str">
            <v>G</v>
          </cell>
          <cell r="G71">
            <v>32600</v>
          </cell>
          <cell r="H71">
            <v>0</v>
          </cell>
          <cell r="I71">
            <v>0</v>
          </cell>
          <cell r="J71" t="e">
            <v>#DIV/0!</v>
          </cell>
        </row>
        <row r="72">
          <cell r="B72" t="str">
            <v>朱杰斌</v>
          </cell>
          <cell r="C72" t="str">
            <v>Jiebin Zhu</v>
          </cell>
          <cell r="D72" t="str">
            <v>Dept.1</v>
          </cell>
          <cell r="E72" t="str">
            <v>Section 2</v>
          </cell>
          <cell r="F72" t="str">
            <v>AM</v>
          </cell>
          <cell r="G72">
            <v>49400</v>
          </cell>
          <cell r="H72">
            <v>0</v>
          </cell>
          <cell r="I72">
            <v>0</v>
          </cell>
          <cell r="J72" t="e">
            <v>#DIV/0!</v>
          </cell>
        </row>
        <row r="73">
          <cell r="B73" t="str">
            <v>沈宇航</v>
          </cell>
          <cell r="C73" t="str">
            <v>Yuhang Shen</v>
          </cell>
          <cell r="D73" t="str">
            <v>Dept2</v>
          </cell>
          <cell r="E73" t="str">
            <v>Middleware</v>
          </cell>
          <cell r="F73" t="str">
            <v>AM</v>
          </cell>
          <cell r="G73">
            <v>49400</v>
          </cell>
          <cell r="H73">
            <v>0</v>
          </cell>
          <cell r="I73">
            <v>0</v>
          </cell>
          <cell r="J73" t="e">
            <v>#DIV/0!</v>
          </cell>
        </row>
        <row r="74">
          <cell r="B74" t="str">
            <v>赵世彬</v>
          </cell>
          <cell r="C74" t="str">
            <v>Tony Zhao</v>
          </cell>
          <cell r="D74" t="str">
            <v>Dept.1</v>
          </cell>
          <cell r="E74" t="str">
            <v>Section 2</v>
          </cell>
          <cell r="F74" t="str">
            <v>AM</v>
          </cell>
          <cell r="G74">
            <v>49400</v>
          </cell>
          <cell r="H74">
            <v>0</v>
          </cell>
          <cell r="I74">
            <v>0</v>
          </cell>
          <cell r="J74" t="e">
            <v>#DIV/0!</v>
          </cell>
        </row>
        <row r="75">
          <cell r="B75" t="str">
            <v>张青</v>
          </cell>
          <cell r="C75" t="str">
            <v>Qing Zhang</v>
          </cell>
          <cell r="D75" t="str">
            <v>Dept 3</v>
          </cell>
          <cell r="E75" t="str">
            <v>Section 2</v>
          </cell>
          <cell r="F75" t="str">
            <v>G</v>
          </cell>
          <cell r="G75">
            <v>32600</v>
          </cell>
          <cell r="H75">
            <v>0</v>
          </cell>
          <cell r="I75">
            <v>0</v>
          </cell>
          <cell r="J75" t="e">
            <v>#DIV/0!</v>
          </cell>
        </row>
        <row r="76">
          <cell r="B76" t="str">
            <v>李建</v>
          </cell>
          <cell r="C76" t="str">
            <v>Wood Li</v>
          </cell>
          <cell r="D76" t="str">
            <v>Dept2</v>
          </cell>
          <cell r="E76" t="str">
            <v>Middleware</v>
          </cell>
          <cell r="F76" t="str">
            <v>SV</v>
          </cell>
          <cell r="G76">
            <v>43100</v>
          </cell>
          <cell r="H76">
            <v>0</v>
          </cell>
          <cell r="I76">
            <v>0</v>
          </cell>
          <cell r="J76" t="e">
            <v>#DIV/0!</v>
          </cell>
        </row>
        <row r="77">
          <cell r="B77" t="str">
            <v>赵振亮</v>
          </cell>
          <cell r="C77" t="str">
            <v>Zhenliang Zhao</v>
          </cell>
          <cell r="D77" t="str">
            <v>Dept.1</v>
          </cell>
          <cell r="E77" t="str">
            <v>Section 3</v>
          </cell>
          <cell r="F77" t="str">
            <v>G</v>
          </cell>
          <cell r="G77">
            <v>32600</v>
          </cell>
          <cell r="H77">
            <v>0</v>
          </cell>
          <cell r="I77">
            <v>0</v>
          </cell>
          <cell r="J77" t="e">
            <v>#DIV/0!</v>
          </cell>
        </row>
        <row r="78">
          <cell r="B78" t="str">
            <v>李敏</v>
          </cell>
          <cell r="C78" t="str">
            <v>Alice Li</v>
          </cell>
          <cell r="D78" t="str">
            <v>testing</v>
          </cell>
          <cell r="E78" t="str">
            <v>testing</v>
          </cell>
          <cell r="F78" t="str">
            <v>G</v>
          </cell>
          <cell r="G78">
            <v>32600</v>
          </cell>
          <cell r="H78">
            <v>0</v>
          </cell>
          <cell r="I78">
            <v>0</v>
          </cell>
          <cell r="J78" t="e">
            <v>#DIV/0!</v>
          </cell>
        </row>
        <row r="79">
          <cell r="B79" t="str">
            <v>叶嘉宾</v>
          </cell>
          <cell r="C79" t="str">
            <v>Warner Ye</v>
          </cell>
          <cell r="D79" t="str">
            <v>Dept.1</v>
          </cell>
          <cell r="E79" t="str">
            <v>Section 3</v>
          </cell>
          <cell r="F79" t="str">
            <v>G</v>
          </cell>
          <cell r="G79">
            <v>32600</v>
          </cell>
          <cell r="H79">
            <v>0</v>
          </cell>
          <cell r="I79">
            <v>0</v>
          </cell>
          <cell r="J79" t="e">
            <v>#DIV/0!</v>
          </cell>
        </row>
        <row r="80">
          <cell r="B80" t="str">
            <v>姚伟</v>
          </cell>
          <cell r="C80" t="str">
            <v>Ivan Yao</v>
          </cell>
          <cell r="D80" t="str">
            <v>testing</v>
          </cell>
          <cell r="E80" t="str">
            <v>testing</v>
          </cell>
          <cell r="F80" t="str">
            <v>SV</v>
          </cell>
          <cell r="G80">
            <v>43100</v>
          </cell>
          <cell r="H80">
            <v>0</v>
          </cell>
          <cell r="I80">
            <v>0</v>
          </cell>
          <cell r="J80" t="e">
            <v>#DIV/0!</v>
          </cell>
        </row>
        <row r="81">
          <cell r="B81" t="str">
            <v>王挺</v>
          </cell>
          <cell r="C81" t="str">
            <v>Jacky Wang</v>
          </cell>
          <cell r="D81" t="str">
            <v>Dept 3</v>
          </cell>
          <cell r="E81" t="str">
            <v>Section 2</v>
          </cell>
          <cell r="F81" t="str">
            <v>AM</v>
          </cell>
          <cell r="G81">
            <v>49400</v>
          </cell>
          <cell r="H81">
            <v>0</v>
          </cell>
          <cell r="I81">
            <v>0</v>
          </cell>
          <cell r="J81" t="e">
            <v>#DIV/0!</v>
          </cell>
        </row>
        <row r="82">
          <cell r="B82" t="str">
            <v>吴方文</v>
          </cell>
          <cell r="C82" t="str">
            <v>Ivan Wu</v>
          </cell>
          <cell r="D82" t="str">
            <v>Dept 3</v>
          </cell>
          <cell r="E82" t="str">
            <v>Section 1</v>
          </cell>
          <cell r="F82" t="str">
            <v>SV</v>
          </cell>
          <cell r="G82">
            <v>43100</v>
          </cell>
          <cell r="H82">
            <v>0</v>
          </cell>
          <cell r="I82">
            <v>0</v>
          </cell>
          <cell r="J82" t="e">
            <v>#DIV/0!</v>
          </cell>
        </row>
        <row r="83">
          <cell r="B83" t="str">
            <v>吴柳波</v>
          </cell>
          <cell r="C83" t="str">
            <v>Andy Wu</v>
          </cell>
          <cell r="D83" t="str">
            <v>Dept2</v>
          </cell>
          <cell r="E83" t="str">
            <v>Driver</v>
          </cell>
          <cell r="F83" t="str">
            <v>G</v>
          </cell>
          <cell r="G83">
            <v>32600</v>
          </cell>
          <cell r="H83">
            <v>0</v>
          </cell>
          <cell r="I83">
            <v>0</v>
          </cell>
          <cell r="J83" t="e">
            <v>#DIV/0!</v>
          </cell>
        </row>
        <row r="84">
          <cell r="B84" t="str">
            <v>邓云</v>
          </cell>
          <cell r="C84" t="str">
            <v>Thomas Deng</v>
          </cell>
          <cell r="D84" t="str">
            <v>Dept.1</v>
          </cell>
          <cell r="E84" t="str">
            <v>Section 3</v>
          </cell>
          <cell r="F84" t="str">
            <v>G</v>
          </cell>
          <cell r="G84">
            <v>32600</v>
          </cell>
          <cell r="H84">
            <v>0</v>
          </cell>
          <cell r="I84">
            <v>0</v>
          </cell>
          <cell r="J84" t="e">
            <v>#DIV/0!</v>
          </cell>
        </row>
        <row r="85">
          <cell r="B85" t="str">
            <v>顾一飞</v>
          </cell>
          <cell r="C85" t="str">
            <v>Eric Gu</v>
          </cell>
          <cell r="D85" t="str">
            <v>testing</v>
          </cell>
          <cell r="E85" t="str">
            <v>testing</v>
          </cell>
          <cell r="F85" t="str">
            <v>G</v>
          </cell>
          <cell r="G85">
            <v>32600</v>
          </cell>
          <cell r="H85">
            <v>0</v>
          </cell>
          <cell r="I85">
            <v>0</v>
          </cell>
          <cell r="J85" t="e">
            <v>#DIV/0!</v>
          </cell>
        </row>
        <row r="86">
          <cell r="B86" t="str">
            <v>完颜宏譞</v>
          </cell>
          <cell r="C86" t="str">
            <v>Uranus WanYan</v>
          </cell>
          <cell r="D86" t="str">
            <v>Dept 3</v>
          </cell>
          <cell r="E86" t="str">
            <v>Section 2</v>
          </cell>
          <cell r="F86" t="str">
            <v>G</v>
          </cell>
          <cell r="G86">
            <v>32600</v>
          </cell>
          <cell r="H86">
            <v>0</v>
          </cell>
          <cell r="I86">
            <v>0</v>
          </cell>
          <cell r="J86" t="e">
            <v>#DIV/0!</v>
          </cell>
        </row>
        <row r="87">
          <cell r="B87" t="str">
            <v>花盛芳</v>
          </cell>
          <cell r="C87" t="str">
            <v>William Hua</v>
          </cell>
          <cell r="D87" t="str">
            <v>Dept.1</v>
          </cell>
          <cell r="E87" t="str">
            <v>Section 1</v>
          </cell>
          <cell r="F87" t="str">
            <v>G</v>
          </cell>
          <cell r="G87">
            <v>32600</v>
          </cell>
          <cell r="H87">
            <v>0</v>
          </cell>
          <cell r="I87">
            <v>0</v>
          </cell>
          <cell r="J87" t="e">
            <v>#DIV/0!</v>
          </cell>
        </row>
        <row r="88">
          <cell r="B88" t="str">
            <v>蒋诚</v>
          </cell>
          <cell r="C88" t="str">
            <v>Jiang Cheng</v>
          </cell>
          <cell r="D88" t="str">
            <v>Dept.1</v>
          </cell>
          <cell r="E88" t="str">
            <v>Section 2</v>
          </cell>
          <cell r="F88" t="str">
            <v>G</v>
          </cell>
          <cell r="G88">
            <v>32600</v>
          </cell>
          <cell r="H88">
            <v>0</v>
          </cell>
          <cell r="I88">
            <v>0</v>
          </cell>
          <cell r="J88" t="e">
            <v>#DIV/0!</v>
          </cell>
        </row>
        <row r="89">
          <cell r="B89" t="str">
            <v>侯晓峰</v>
          </cell>
          <cell r="C89" t="str">
            <v>Windy Hou</v>
          </cell>
          <cell r="D89" t="str">
            <v>Dept 3</v>
          </cell>
          <cell r="E89" t="str">
            <v>Section 2</v>
          </cell>
          <cell r="F89" t="str">
            <v>G</v>
          </cell>
          <cell r="G89">
            <v>32600</v>
          </cell>
          <cell r="H89">
            <v>0</v>
          </cell>
          <cell r="I89">
            <v>0</v>
          </cell>
          <cell r="J89" t="e">
            <v>#DIV/0!</v>
          </cell>
        </row>
        <row r="90">
          <cell r="B90" t="str">
            <v>童宇扬</v>
          </cell>
          <cell r="C90" t="str">
            <v>Thomas Tong</v>
          </cell>
          <cell r="D90" t="str">
            <v>Dept2</v>
          </cell>
          <cell r="E90" t="str">
            <v>System</v>
          </cell>
          <cell r="F90" t="str">
            <v>SV</v>
          </cell>
          <cell r="G90">
            <v>43100</v>
          </cell>
          <cell r="H90">
            <v>0</v>
          </cell>
          <cell r="I90">
            <v>0</v>
          </cell>
          <cell r="J90" t="e">
            <v>#DIV/0!</v>
          </cell>
        </row>
        <row r="91">
          <cell r="B91" t="str">
            <v>施宇</v>
          </cell>
          <cell r="C91" t="str">
            <v>Jack Shi</v>
          </cell>
          <cell r="D91" t="str">
            <v>Dept.1</v>
          </cell>
          <cell r="E91" t="str">
            <v>Section 3</v>
          </cell>
          <cell r="F91" t="str">
            <v>G</v>
          </cell>
          <cell r="G91">
            <v>32600</v>
          </cell>
          <cell r="H91">
            <v>0</v>
          </cell>
          <cell r="I91">
            <v>0</v>
          </cell>
          <cell r="J91" t="e">
            <v>#DIV/0!</v>
          </cell>
        </row>
        <row r="92">
          <cell r="B92" t="str">
            <v>李江河</v>
          </cell>
          <cell r="C92" t="str">
            <v>Josh Li</v>
          </cell>
          <cell r="D92" t="str">
            <v>Dept.1</v>
          </cell>
          <cell r="E92" t="str">
            <v>Section 2</v>
          </cell>
          <cell r="F92" t="str">
            <v>G</v>
          </cell>
          <cell r="G92">
            <v>32600</v>
          </cell>
          <cell r="H92">
            <v>0</v>
          </cell>
          <cell r="I92">
            <v>0</v>
          </cell>
          <cell r="J92" t="e">
            <v>#DIV/0!</v>
          </cell>
        </row>
        <row r="93">
          <cell r="B93" t="str">
            <v>劳文波</v>
          </cell>
          <cell r="C93" t="str">
            <v>Bob Lao</v>
          </cell>
          <cell r="D93" t="str">
            <v>Dept 3</v>
          </cell>
          <cell r="E93" t="str">
            <v>Section 1</v>
          </cell>
          <cell r="F93" t="str">
            <v>G</v>
          </cell>
          <cell r="G93">
            <v>32600</v>
          </cell>
          <cell r="H93">
            <v>0</v>
          </cell>
          <cell r="I93">
            <v>0</v>
          </cell>
          <cell r="J93" t="e">
            <v>#DIV/0!</v>
          </cell>
        </row>
        <row r="94">
          <cell r="B94" t="str">
            <v>温小明</v>
          </cell>
          <cell r="C94" t="str">
            <v>Kevin Wen</v>
          </cell>
          <cell r="D94" t="str">
            <v>Dept 3</v>
          </cell>
          <cell r="E94" t="str">
            <v>Section 1</v>
          </cell>
          <cell r="F94" t="str">
            <v>G</v>
          </cell>
          <cell r="G94">
            <v>32600</v>
          </cell>
          <cell r="H94">
            <v>0</v>
          </cell>
          <cell r="I94">
            <v>0</v>
          </cell>
          <cell r="J94" t="e">
            <v>#DIV/0!</v>
          </cell>
        </row>
        <row r="95">
          <cell r="B95" t="str">
            <v>张亮</v>
          </cell>
          <cell r="C95" t="str">
            <v>Red Zhang</v>
          </cell>
          <cell r="D95" t="str">
            <v>testing</v>
          </cell>
          <cell r="E95" t="str">
            <v>testing</v>
          </cell>
          <cell r="F95" t="str">
            <v>SV</v>
          </cell>
          <cell r="G95">
            <v>43100</v>
          </cell>
          <cell r="H95">
            <v>0</v>
          </cell>
          <cell r="I95">
            <v>0</v>
          </cell>
          <cell r="J95" t="e">
            <v>#DIV/0!</v>
          </cell>
        </row>
        <row r="96">
          <cell r="B96" t="str">
            <v>徐昕川</v>
          </cell>
          <cell r="C96" t="str">
            <v>Nancy Xu</v>
          </cell>
          <cell r="D96" t="str">
            <v>testing</v>
          </cell>
          <cell r="E96" t="str">
            <v>testing</v>
          </cell>
          <cell r="F96" t="str">
            <v>SV</v>
          </cell>
          <cell r="G96">
            <v>43100</v>
          </cell>
          <cell r="H96">
            <v>0</v>
          </cell>
          <cell r="I96">
            <v>0</v>
          </cell>
          <cell r="J96" t="e">
            <v>#DIV/0!</v>
          </cell>
        </row>
        <row r="97">
          <cell r="B97" t="str">
            <v>杨阳</v>
          </cell>
          <cell r="C97" t="str">
            <v>Rick Yang</v>
          </cell>
          <cell r="D97" t="str">
            <v>Dept2</v>
          </cell>
          <cell r="E97" t="str">
            <v>Middleware</v>
          </cell>
          <cell r="F97" t="str">
            <v>G</v>
          </cell>
          <cell r="G97">
            <v>32600</v>
          </cell>
          <cell r="H97">
            <v>0</v>
          </cell>
          <cell r="I97">
            <v>0</v>
          </cell>
          <cell r="J97" t="e">
            <v>#DIV/0!</v>
          </cell>
        </row>
        <row r="98">
          <cell r="B98" t="str">
            <v>许春</v>
          </cell>
          <cell r="C98" t="str">
            <v>Chun Xu</v>
          </cell>
          <cell r="D98" t="str">
            <v>Dept.1</v>
          </cell>
          <cell r="E98" t="str">
            <v>Section 1</v>
          </cell>
          <cell r="F98" t="str">
            <v>SV</v>
          </cell>
          <cell r="G98">
            <v>43100</v>
          </cell>
          <cell r="H98">
            <v>0</v>
          </cell>
          <cell r="I98">
            <v>0</v>
          </cell>
          <cell r="J98" t="e">
            <v>#DIV/0!</v>
          </cell>
        </row>
        <row r="99">
          <cell r="B99" t="str">
            <v>王止戈</v>
          </cell>
          <cell r="C99" t="str">
            <v>Zhige Wang</v>
          </cell>
          <cell r="D99" t="str">
            <v>Dept2</v>
          </cell>
          <cell r="E99" t="str">
            <v>Middleware</v>
          </cell>
          <cell r="F99" t="str">
            <v>SV</v>
          </cell>
          <cell r="G99">
            <v>43100</v>
          </cell>
          <cell r="H99">
            <v>0</v>
          </cell>
          <cell r="I99">
            <v>0</v>
          </cell>
          <cell r="J99" t="e">
            <v>#DIV/0!</v>
          </cell>
        </row>
        <row r="100">
          <cell r="B100" t="str">
            <v>刘伟宏</v>
          </cell>
          <cell r="C100" t="str">
            <v>Weihong Liu</v>
          </cell>
          <cell r="D100" t="str">
            <v>Dept2</v>
          </cell>
          <cell r="E100" t="str">
            <v>Middleware</v>
          </cell>
          <cell r="F100" t="str">
            <v>AM</v>
          </cell>
          <cell r="G100">
            <v>49400</v>
          </cell>
          <cell r="H100">
            <v>0</v>
          </cell>
          <cell r="I100">
            <v>0</v>
          </cell>
          <cell r="J100" t="e">
            <v>#DIV/0!</v>
          </cell>
        </row>
        <row r="101">
          <cell r="B101" t="str">
            <v>徐晓波</v>
          </cell>
          <cell r="C101" t="str">
            <v>Barry Xu</v>
          </cell>
          <cell r="D101" t="str">
            <v>Dept2</v>
          </cell>
          <cell r="E101" t="str">
            <v>System</v>
          </cell>
          <cell r="F101" t="str">
            <v>SV</v>
          </cell>
          <cell r="G101">
            <v>43100</v>
          </cell>
          <cell r="H101">
            <v>0</v>
          </cell>
          <cell r="I101">
            <v>0</v>
          </cell>
          <cell r="J101" t="e">
            <v>#DIV/0!</v>
          </cell>
        </row>
        <row r="102">
          <cell r="B102" t="str">
            <v>田少鹏</v>
          </cell>
          <cell r="C102" t="str">
            <v>Eaglets</v>
          </cell>
          <cell r="D102" t="str">
            <v>Dept2</v>
          </cell>
          <cell r="E102" t="str">
            <v>Middleware</v>
          </cell>
          <cell r="F102" t="str">
            <v>SV</v>
          </cell>
          <cell r="G102">
            <v>43100</v>
          </cell>
          <cell r="H102">
            <v>0</v>
          </cell>
          <cell r="I102">
            <v>0</v>
          </cell>
          <cell r="J102" t="e">
            <v>#DIV/0!</v>
          </cell>
        </row>
        <row r="103">
          <cell r="B103" t="str">
            <v>陈耿</v>
          </cell>
          <cell r="C103" t="str">
            <v>Kevin Chen</v>
          </cell>
          <cell r="D103" t="str">
            <v>testing</v>
          </cell>
          <cell r="E103" t="str">
            <v>testing</v>
          </cell>
          <cell r="F103" t="str">
            <v>AM</v>
          </cell>
          <cell r="G103">
            <v>49400</v>
          </cell>
          <cell r="H103">
            <v>0</v>
          </cell>
          <cell r="I103">
            <v>0</v>
          </cell>
          <cell r="J103" t="e">
            <v>#DIV/0!</v>
          </cell>
        </row>
        <row r="104">
          <cell r="B104" t="str">
            <v>沈吴军</v>
          </cell>
          <cell r="C104" t="str">
            <v>Kevin Shen</v>
          </cell>
          <cell r="D104" t="str">
            <v>Dept 3</v>
          </cell>
          <cell r="E104" t="str">
            <v>Section 2</v>
          </cell>
          <cell r="F104" t="str">
            <v>AM</v>
          </cell>
          <cell r="G104">
            <v>49400</v>
          </cell>
          <cell r="H104">
            <v>0</v>
          </cell>
          <cell r="I104">
            <v>0</v>
          </cell>
          <cell r="J104" t="e">
            <v>#DIV/0!</v>
          </cell>
        </row>
        <row r="105">
          <cell r="B105" t="str">
            <v>舒志</v>
          </cell>
          <cell r="C105" t="str">
            <v>Aric Shu</v>
          </cell>
          <cell r="D105" t="str">
            <v>Dept2</v>
          </cell>
          <cell r="E105" t="str">
            <v>Middleware</v>
          </cell>
          <cell r="F105" t="str">
            <v>SV</v>
          </cell>
          <cell r="G105">
            <v>43100</v>
          </cell>
          <cell r="H105">
            <v>0</v>
          </cell>
          <cell r="I105">
            <v>0</v>
          </cell>
          <cell r="J105" t="e">
            <v>#DIV/0!</v>
          </cell>
        </row>
        <row r="106">
          <cell r="B106" t="str">
            <v>朱艺笺</v>
          </cell>
          <cell r="C106" t="str">
            <v>Mike Zhu</v>
          </cell>
          <cell r="D106" t="str">
            <v>testing</v>
          </cell>
          <cell r="E106" t="str">
            <v>testing</v>
          </cell>
          <cell r="F106" t="str">
            <v>G</v>
          </cell>
          <cell r="G106">
            <v>32600</v>
          </cell>
          <cell r="H106">
            <v>0</v>
          </cell>
          <cell r="I106">
            <v>0</v>
          </cell>
          <cell r="J106" t="e">
            <v>#DIV/0!</v>
          </cell>
        </row>
        <row r="107">
          <cell r="B107" t="str">
            <v>庞学骏</v>
          </cell>
          <cell r="C107" t="str">
            <v>Tom Pang</v>
          </cell>
          <cell r="D107" t="str">
            <v>Dept2</v>
          </cell>
          <cell r="E107" t="str">
            <v>Driver</v>
          </cell>
          <cell r="F107" t="str">
            <v>G</v>
          </cell>
          <cell r="G107">
            <v>32600</v>
          </cell>
          <cell r="H107">
            <v>0</v>
          </cell>
          <cell r="I107">
            <v>0</v>
          </cell>
          <cell r="J107" t="e">
            <v>#DIV/0!</v>
          </cell>
        </row>
        <row r="108">
          <cell r="B108" t="str">
            <v>孔德旸</v>
          </cell>
          <cell r="C108" t="str">
            <v>Charles Kong</v>
          </cell>
          <cell r="D108" t="str">
            <v>testing</v>
          </cell>
          <cell r="E108" t="str">
            <v>testing</v>
          </cell>
          <cell r="F108" t="str">
            <v>SV</v>
          </cell>
          <cell r="G108">
            <v>43100</v>
          </cell>
          <cell r="H108">
            <v>0</v>
          </cell>
          <cell r="I108">
            <v>0</v>
          </cell>
          <cell r="J108" t="e">
            <v>#DIV/0!</v>
          </cell>
        </row>
        <row r="109">
          <cell r="B109" t="str">
            <v>常丽娜</v>
          </cell>
          <cell r="C109" t="str">
            <v>Lina Chang</v>
          </cell>
          <cell r="D109" t="str">
            <v>Dept2</v>
          </cell>
          <cell r="E109" t="str">
            <v>Middleware</v>
          </cell>
          <cell r="F109" t="str">
            <v>G</v>
          </cell>
          <cell r="G109">
            <v>32600</v>
          </cell>
          <cell r="H109">
            <v>0</v>
          </cell>
          <cell r="I109">
            <v>0</v>
          </cell>
          <cell r="J109" t="e">
            <v>#DIV/0!</v>
          </cell>
        </row>
        <row r="110">
          <cell r="B110" t="str">
            <v>倪芸</v>
          </cell>
          <cell r="C110" t="str">
            <v>Nicole Ni</v>
          </cell>
          <cell r="D110" t="str">
            <v>testing</v>
          </cell>
          <cell r="E110" t="str">
            <v>testing</v>
          </cell>
          <cell r="F110" t="str">
            <v>G</v>
          </cell>
          <cell r="G110">
            <v>32600</v>
          </cell>
          <cell r="H110">
            <v>0</v>
          </cell>
          <cell r="I110">
            <v>0</v>
          </cell>
          <cell r="J110" t="e">
            <v>#DIV/0!</v>
          </cell>
        </row>
        <row r="111">
          <cell r="B111" t="str">
            <v>赵尊翔</v>
          </cell>
          <cell r="C111" t="str">
            <v>Ryder Zhao</v>
          </cell>
          <cell r="D111" t="str">
            <v>Dept.1</v>
          </cell>
          <cell r="E111" t="str">
            <v>Section 1</v>
          </cell>
          <cell r="F111" t="str">
            <v>SV</v>
          </cell>
          <cell r="G111">
            <v>43100</v>
          </cell>
          <cell r="H111">
            <v>0</v>
          </cell>
          <cell r="I111">
            <v>0</v>
          </cell>
          <cell r="J111" t="e">
            <v>#DIV/0!</v>
          </cell>
        </row>
        <row r="112">
          <cell r="B112" t="str">
            <v>潘涛</v>
          </cell>
          <cell r="C112" t="str">
            <v>Daniel Pan</v>
          </cell>
          <cell r="D112" t="str">
            <v>Dept2</v>
          </cell>
          <cell r="E112" t="str">
            <v>Driver</v>
          </cell>
          <cell r="F112" t="str">
            <v>SV</v>
          </cell>
          <cell r="G112">
            <v>43100</v>
          </cell>
          <cell r="H112">
            <v>0</v>
          </cell>
          <cell r="I112">
            <v>0</v>
          </cell>
          <cell r="J112" t="e">
            <v>#DIV/0!</v>
          </cell>
        </row>
        <row r="113">
          <cell r="B113" t="str">
            <v>沈羽申</v>
          </cell>
          <cell r="C113" t="str">
            <v>Sam Shen</v>
          </cell>
          <cell r="D113" t="str">
            <v>Dept.1</v>
          </cell>
          <cell r="E113" t="str">
            <v>Section2</v>
          </cell>
          <cell r="F113" t="str">
            <v>G</v>
          </cell>
          <cell r="G113">
            <v>32600</v>
          </cell>
          <cell r="H113">
            <v>0</v>
          </cell>
          <cell r="I113">
            <v>0</v>
          </cell>
          <cell r="J113" t="e">
            <v>#DIV/0!</v>
          </cell>
        </row>
        <row r="114">
          <cell r="B114" t="str">
            <v>诸维佳</v>
          </cell>
          <cell r="C114" t="str">
            <v>Vincent Zhu</v>
          </cell>
          <cell r="D114" t="str">
            <v>Dept2</v>
          </cell>
          <cell r="E114" t="str">
            <v>Middleware</v>
          </cell>
          <cell r="F114" t="str">
            <v>SV</v>
          </cell>
          <cell r="G114">
            <v>43100</v>
          </cell>
          <cell r="H114">
            <v>0</v>
          </cell>
          <cell r="I114">
            <v>0</v>
          </cell>
          <cell r="J114" t="e">
            <v>#DIV/0!</v>
          </cell>
        </row>
        <row r="115">
          <cell r="B115" t="str">
            <v>吴昊</v>
          </cell>
          <cell r="C115" t="str">
            <v>Howard Wu</v>
          </cell>
          <cell r="D115" t="str">
            <v>Dept 3</v>
          </cell>
          <cell r="E115" t="str">
            <v>Section1</v>
          </cell>
          <cell r="F115" t="str">
            <v>M</v>
          </cell>
          <cell r="G115">
            <v>56000</v>
          </cell>
          <cell r="H115">
            <v>0</v>
          </cell>
          <cell r="I115">
            <v>0</v>
          </cell>
          <cell r="J115" t="e">
            <v>#DIV/0!</v>
          </cell>
        </row>
        <row r="116">
          <cell r="B116" t="str">
            <v>陈浩川</v>
          </cell>
          <cell r="C116" t="str">
            <v>Martin Chen</v>
          </cell>
          <cell r="D116" t="str">
            <v>Dept.1</v>
          </cell>
          <cell r="E116" t="str">
            <v>Section2</v>
          </cell>
          <cell r="F116" t="str">
            <v>G</v>
          </cell>
          <cell r="G116">
            <v>32600</v>
          </cell>
          <cell r="H116">
            <v>0</v>
          </cell>
          <cell r="I116">
            <v>0</v>
          </cell>
          <cell r="J116" t="e">
            <v>#DIV/0!</v>
          </cell>
        </row>
        <row r="117">
          <cell r="B117" t="str">
            <v>谭晟</v>
          </cell>
          <cell r="C117" t="str">
            <v>Bruce Tan</v>
          </cell>
          <cell r="D117" t="str">
            <v>Dept 3</v>
          </cell>
          <cell r="E117" t="str">
            <v>Section2</v>
          </cell>
          <cell r="F117" t="str">
            <v>G</v>
          </cell>
          <cell r="G117">
            <v>32600</v>
          </cell>
          <cell r="H117">
            <v>0</v>
          </cell>
          <cell r="I117">
            <v>0</v>
          </cell>
          <cell r="J117" t="e">
            <v>#DIV/0!</v>
          </cell>
        </row>
        <row r="118">
          <cell r="B118" t="str">
            <v>徐庆贺</v>
          </cell>
          <cell r="C118" t="str">
            <v>Derek Xu</v>
          </cell>
          <cell r="D118" t="str">
            <v>Dept 3</v>
          </cell>
          <cell r="E118" t="str">
            <v>Section1</v>
          </cell>
          <cell r="F118" t="str">
            <v>G</v>
          </cell>
          <cell r="G118">
            <v>32600</v>
          </cell>
          <cell r="H118">
            <v>0</v>
          </cell>
          <cell r="I118">
            <v>0</v>
          </cell>
          <cell r="J118" t="e">
            <v>#DIV/0!</v>
          </cell>
        </row>
        <row r="119">
          <cell r="B119" t="str">
            <v>姜立娣</v>
          </cell>
          <cell r="C119" t="str">
            <v>Alex Jiang</v>
          </cell>
          <cell r="D119" t="str">
            <v>Dept 3</v>
          </cell>
          <cell r="E119" t="str">
            <v>Section2</v>
          </cell>
          <cell r="F119" t="str">
            <v>G</v>
          </cell>
          <cell r="G119">
            <v>32600</v>
          </cell>
          <cell r="H119">
            <v>0</v>
          </cell>
          <cell r="I119">
            <v>0</v>
          </cell>
          <cell r="J119" t="e">
            <v>#DIV/0!</v>
          </cell>
        </row>
        <row r="120">
          <cell r="B120" t="str">
            <v>杨毅军</v>
          </cell>
          <cell r="C120" t="str">
            <v>Yang YiJun</v>
          </cell>
          <cell r="D120" t="str">
            <v>Dept.1</v>
          </cell>
          <cell r="E120" t="str">
            <v>Section2</v>
          </cell>
          <cell r="F120" t="str">
            <v>AM</v>
          </cell>
          <cell r="G120">
            <v>49400</v>
          </cell>
          <cell r="H120">
            <v>0</v>
          </cell>
          <cell r="I120">
            <v>0</v>
          </cell>
          <cell r="J120" t="e">
            <v>#DIV/0!</v>
          </cell>
        </row>
        <row r="121">
          <cell r="B121" t="str">
            <v>吴佳磊</v>
          </cell>
          <cell r="C121" t="str">
            <v>Gary Wu</v>
          </cell>
          <cell r="D121" t="str">
            <v>Dept.1</v>
          </cell>
          <cell r="E121" t="str">
            <v>Section1</v>
          </cell>
          <cell r="F121" t="str">
            <v>G</v>
          </cell>
          <cell r="G121">
            <v>32600</v>
          </cell>
          <cell r="H121">
            <v>0</v>
          </cell>
          <cell r="I121">
            <v>0</v>
          </cell>
          <cell r="J121" t="e">
            <v>#DIV/0!</v>
          </cell>
        </row>
        <row r="122">
          <cell r="B122" t="str">
            <v>向文君</v>
          </cell>
          <cell r="C122" t="str">
            <v>Jessie Xiang</v>
          </cell>
          <cell r="D122" t="str">
            <v>Dept 3</v>
          </cell>
          <cell r="E122" t="str">
            <v>Section1</v>
          </cell>
          <cell r="F122" t="str">
            <v>G</v>
          </cell>
          <cell r="G122">
            <v>32600</v>
          </cell>
          <cell r="H122">
            <v>0</v>
          </cell>
          <cell r="I122">
            <v>0</v>
          </cell>
          <cell r="J122" t="e">
            <v>#DIV/0!</v>
          </cell>
        </row>
        <row r="123">
          <cell r="B123" t="str">
            <v>刘琳</v>
          </cell>
          <cell r="C123" t="str">
            <v>Lyon Liu</v>
          </cell>
          <cell r="D123" t="str">
            <v>testing</v>
          </cell>
          <cell r="E123" t="str">
            <v>testing</v>
          </cell>
          <cell r="F123" t="str">
            <v>SV</v>
          </cell>
          <cell r="G123">
            <v>43100</v>
          </cell>
          <cell r="H123">
            <v>0</v>
          </cell>
          <cell r="I123">
            <v>0</v>
          </cell>
          <cell r="J123" t="e">
            <v>#DIV/0!</v>
          </cell>
        </row>
        <row r="124">
          <cell r="B124" t="str">
            <v>姜俊琳</v>
          </cell>
          <cell r="C124" t="str">
            <v>Henry Jiang</v>
          </cell>
          <cell r="D124" t="str">
            <v>Dept.1</v>
          </cell>
          <cell r="E124" t="str">
            <v>Section1</v>
          </cell>
          <cell r="F124" t="str">
            <v>G</v>
          </cell>
          <cell r="G124">
            <v>32600</v>
          </cell>
          <cell r="H124">
            <v>0</v>
          </cell>
          <cell r="I124">
            <v>0</v>
          </cell>
          <cell r="J124" t="e">
            <v>#DIV/0!</v>
          </cell>
        </row>
        <row r="125">
          <cell r="B125" t="str">
            <v>王斌</v>
          </cell>
          <cell r="C125" t="str">
            <v>Zephyr Wang</v>
          </cell>
          <cell r="D125" t="str">
            <v>Dept2</v>
          </cell>
          <cell r="E125" t="str">
            <v>Middleware</v>
          </cell>
          <cell r="F125" t="str">
            <v>AM</v>
          </cell>
          <cell r="G125">
            <v>49400</v>
          </cell>
          <cell r="H125">
            <v>0</v>
          </cell>
          <cell r="I125">
            <v>0</v>
          </cell>
          <cell r="J125" t="e">
            <v>#DIV/0!</v>
          </cell>
        </row>
        <row r="126">
          <cell r="B126" t="str">
            <v>欧阳志文</v>
          </cell>
          <cell r="C126" t="str">
            <v>OuYang ZhiWen</v>
          </cell>
          <cell r="D126" t="str">
            <v>Dept.1</v>
          </cell>
          <cell r="E126" t="str">
            <v>Section1</v>
          </cell>
          <cell r="F126" t="str">
            <v>G</v>
          </cell>
          <cell r="G126">
            <v>32600</v>
          </cell>
          <cell r="H126">
            <v>0</v>
          </cell>
          <cell r="I126">
            <v>0</v>
          </cell>
          <cell r="J126" t="e">
            <v>#DIV/0!</v>
          </cell>
        </row>
        <row r="127">
          <cell r="B127" t="str">
            <v>金文燕</v>
          </cell>
          <cell r="C127" t="str">
            <v>Themis Jin</v>
          </cell>
          <cell r="D127" t="str">
            <v>Dept2</v>
          </cell>
          <cell r="E127" t="str">
            <v>Middleware</v>
          </cell>
          <cell r="F127" t="str">
            <v>G</v>
          </cell>
          <cell r="G127">
            <v>32600</v>
          </cell>
          <cell r="H127">
            <v>0</v>
          </cell>
          <cell r="I127">
            <v>0</v>
          </cell>
          <cell r="J127" t="e">
            <v>#DIV/0!</v>
          </cell>
        </row>
        <row r="128">
          <cell r="B128" t="str">
            <v>宋杰</v>
          </cell>
          <cell r="C128" t="str">
            <v>Peter Song</v>
          </cell>
          <cell r="D128" t="str">
            <v>Dept 3</v>
          </cell>
          <cell r="E128" t="str">
            <v>Section2</v>
          </cell>
          <cell r="F128" t="str">
            <v>G</v>
          </cell>
          <cell r="G128">
            <v>32600</v>
          </cell>
          <cell r="H128">
            <v>0</v>
          </cell>
          <cell r="I128">
            <v>0</v>
          </cell>
          <cell r="J128" t="e">
            <v>#DIV/0!</v>
          </cell>
        </row>
        <row r="129">
          <cell r="B129" t="str">
            <v>刘炫宇</v>
          </cell>
          <cell r="C129" t="str">
            <v>Shally Liu</v>
          </cell>
          <cell r="D129" t="str">
            <v>Dept2</v>
          </cell>
          <cell r="E129" t="str">
            <v>System</v>
          </cell>
          <cell r="F129" t="str">
            <v>G</v>
          </cell>
          <cell r="G129">
            <v>32600</v>
          </cell>
          <cell r="H129">
            <v>0</v>
          </cell>
          <cell r="I129">
            <v>0</v>
          </cell>
          <cell r="J129" t="e">
            <v>#DIV/0!</v>
          </cell>
        </row>
        <row r="130">
          <cell r="B130" t="str">
            <v>黄韬</v>
          </cell>
          <cell r="C130" t="str">
            <v>Todd Huang</v>
          </cell>
          <cell r="D130" t="str">
            <v>Dept.1</v>
          </cell>
          <cell r="E130" t="str">
            <v>Section1</v>
          </cell>
          <cell r="F130" t="str">
            <v>G</v>
          </cell>
          <cell r="G130">
            <v>32600</v>
          </cell>
          <cell r="H130">
            <v>0</v>
          </cell>
          <cell r="I130">
            <v>0</v>
          </cell>
          <cell r="J130" t="e">
            <v>#DIV/0!</v>
          </cell>
        </row>
        <row r="131">
          <cell r="B131" t="str">
            <v>孙明琪</v>
          </cell>
          <cell r="C131" t="str">
            <v>Sunny Sun</v>
          </cell>
          <cell r="D131" t="str">
            <v>Dept2</v>
          </cell>
          <cell r="E131" t="str">
            <v>Middleware</v>
          </cell>
          <cell r="F131" t="str">
            <v>G</v>
          </cell>
          <cell r="G131">
            <v>32600</v>
          </cell>
          <cell r="H131">
            <v>0</v>
          </cell>
          <cell r="I131">
            <v>0</v>
          </cell>
          <cell r="J131" t="e">
            <v>#DIV/0!</v>
          </cell>
        </row>
        <row r="132">
          <cell r="B132" t="str">
            <v>徐卫华</v>
          </cell>
          <cell r="C132" t="str">
            <v>Vinnie Xu</v>
          </cell>
          <cell r="D132" t="str">
            <v>Dept2</v>
          </cell>
          <cell r="E132" t="str">
            <v>Middleware</v>
          </cell>
          <cell r="F132" t="str">
            <v>G</v>
          </cell>
          <cell r="G132">
            <v>32600</v>
          </cell>
          <cell r="H132">
            <v>0</v>
          </cell>
          <cell r="I132">
            <v>0</v>
          </cell>
          <cell r="J132" t="e">
            <v>#DIV/0!</v>
          </cell>
        </row>
        <row r="133">
          <cell r="B133" t="str">
            <v>赵嫣</v>
          </cell>
          <cell r="C133" t="str">
            <v>Joy Zhao</v>
          </cell>
          <cell r="D133" t="str">
            <v>Dept 3</v>
          </cell>
          <cell r="E133" t="str">
            <v>Section2</v>
          </cell>
          <cell r="F133" t="str">
            <v>G</v>
          </cell>
          <cell r="G133">
            <v>32600</v>
          </cell>
          <cell r="H133">
            <v>0</v>
          </cell>
          <cell r="I133">
            <v>0</v>
          </cell>
          <cell r="J133" t="e">
            <v>#DIV/0!</v>
          </cell>
        </row>
        <row r="134">
          <cell r="B134" t="str">
            <v>郭雪莲</v>
          </cell>
          <cell r="C134" t="str">
            <v>Belinda Guo</v>
          </cell>
          <cell r="D134" t="str">
            <v>Dept.1</v>
          </cell>
          <cell r="E134" t="str">
            <v>Section2</v>
          </cell>
          <cell r="F134" t="str">
            <v>G</v>
          </cell>
          <cell r="G134">
            <v>32600</v>
          </cell>
          <cell r="H134">
            <v>0</v>
          </cell>
          <cell r="I134">
            <v>0</v>
          </cell>
          <cell r="J134" t="e">
            <v>#DIV/0!</v>
          </cell>
        </row>
        <row r="135">
          <cell r="B135" t="str">
            <v>蔡艳明</v>
          </cell>
          <cell r="C135" t="str">
            <v>Yanming Cai</v>
          </cell>
          <cell r="D135" t="str">
            <v>Dept 3</v>
          </cell>
          <cell r="E135" t="str">
            <v>Section2</v>
          </cell>
          <cell r="F135" t="str">
            <v>AM</v>
          </cell>
          <cell r="G135">
            <v>49400</v>
          </cell>
          <cell r="H135">
            <v>0</v>
          </cell>
          <cell r="I135">
            <v>0</v>
          </cell>
          <cell r="J135" t="e">
            <v>#DIV/0!</v>
          </cell>
        </row>
        <row r="136">
          <cell r="B136" t="str">
            <v>李晋</v>
          </cell>
          <cell r="C136" t="str">
            <v>King Li</v>
          </cell>
          <cell r="D136" t="str">
            <v>Dept 3</v>
          </cell>
          <cell r="E136" t="str">
            <v>Section 1</v>
          </cell>
          <cell r="F136" t="str">
            <v>SV</v>
          </cell>
          <cell r="G136">
            <v>43100</v>
          </cell>
          <cell r="H136">
            <v>0</v>
          </cell>
          <cell r="I136">
            <v>0</v>
          </cell>
          <cell r="J136" t="e">
            <v>#DIV/0!</v>
          </cell>
        </row>
        <row r="137">
          <cell r="B137" t="str">
            <v>邵建华</v>
          </cell>
          <cell r="C137" t="str">
            <v>Alex Shao</v>
          </cell>
          <cell r="D137" t="str">
            <v>Dept 3</v>
          </cell>
          <cell r="E137" t="str">
            <v>Section 1</v>
          </cell>
          <cell r="F137" t="str">
            <v>G</v>
          </cell>
          <cell r="G137">
            <v>32600</v>
          </cell>
          <cell r="H137">
            <v>0</v>
          </cell>
          <cell r="I137">
            <v>0</v>
          </cell>
          <cell r="J137" t="e">
            <v>#DIV/0!</v>
          </cell>
        </row>
        <row r="138">
          <cell r="B138" t="str">
            <v>邢骁</v>
          </cell>
          <cell r="C138" t="str">
            <v>Xiao Xing</v>
          </cell>
          <cell r="D138" t="str">
            <v>Dept2</v>
          </cell>
          <cell r="E138" t="str">
            <v>System</v>
          </cell>
          <cell r="F138" t="str">
            <v>SV</v>
          </cell>
          <cell r="G138">
            <v>43100</v>
          </cell>
          <cell r="H138">
            <v>0</v>
          </cell>
          <cell r="I138">
            <v>0</v>
          </cell>
          <cell r="J138" t="e">
            <v>#DIV/0!</v>
          </cell>
        </row>
        <row r="139">
          <cell r="B139" t="str">
            <v>张广立</v>
          </cell>
          <cell r="C139" t="str">
            <v>David Zhang</v>
          </cell>
          <cell r="D139" t="str">
            <v>Dept 3</v>
          </cell>
          <cell r="E139" t="str">
            <v>Section 2</v>
          </cell>
          <cell r="F139" t="str">
            <v>AM</v>
          </cell>
          <cell r="G139">
            <v>49400</v>
          </cell>
          <cell r="H139">
            <v>0</v>
          </cell>
          <cell r="I139">
            <v>0</v>
          </cell>
          <cell r="J139" t="e">
            <v>#DIV/0!</v>
          </cell>
        </row>
        <row r="140">
          <cell r="B140" t="str">
            <v>周海燕</v>
          </cell>
          <cell r="C140" t="str">
            <v>Shirly Zhou</v>
          </cell>
          <cell r="D140" t="str">
            <v>testing</v>
          </cell>
          <cell r="E140" t="str">
            <v>testing</v>
          </cell>
          <cell r="F140" t="str">
            <v>G</v>
          </cell>
          <cell r="G140">
            <v>32600</v>
          </cell>
          <cell r="H140">
            <v>0</v>
          </cell>
          <cell r="I140">
            <v>0</v>
          </cell>
          <cell r="J140" t="e">
            <v>#DIV/0!</v>
          </cell>
        </row>
        <row r="141">
          <cell r="B141" t="str">
            <v>康学雷</v>
          </cell>
          <cell r="C141" t="str">
            <v>Jacky Kang</v>
          </cell>
          <cell r="D141" t="str">
            <v>Dept.1</v>
          </cell>
          <cell r="E141" t="str">
            <v>Section 2</v>
          </cell>
          <cell r="F141" t="str">
            <v>M</v>
          </cell>
          <cell r="G141">
            <v>56000</v>
          </cell>
          <cell r="H141">
            <v>0</v>
          </cell>
          <cell r="I141">
            <v>0</v>
          </cell>
          <cell r="J141" t="e">
            <v>#DIV/0!</v>
          </cell>
        </row>
        <row r="142">
          <cell r="B142" t="str">
            <v>G</v>
          </cell>
          <cell r="F142" t="str">
            <v>G</v>
          </cell>
          <cell r="G142">
            <v>32600</v>
          </cell>
          <cell r="H142">
            <v>0</v>
          </cell>
          <cell r="I142">
            <v>0</v>
          </cell>
          <cell r="J142" t="e">
            <v>#DIV/0!</v>
          </cell>
        </row>
        <row r="143">
          <cell r="B143" t="str">
            <v>OS1</v>
          </cell>
          <cell r="C143" t="str">
            <v>OS-12124</v>
          </cell>
          <cell r="D143" t="str">
            <v>OS</v>
          </cell>
          <cell r="E143" t="str">
            <v>OS</v>
          </cell>
          <cell r="F143" t="str">
            <v>OS-12124</v>
          </cell>
          <cell r="G143">
            <v>28000</v>
          </cell>
          <cell r="H143">
            <v>0</v>
          </cell>
          <cell r="I143" t="e">
            <v>#DIV/0!</v>
          </cell>
          <cell r="J143" t="e">
            <v>#DIV/0!</v>
          </cell>
        </row>
        <row r="144">
          <cell r="B144" t="str">
            <v>OS2</v>
          </cell>
          <cell r="C144" t="str">
            <v>OS-12163</v>
          </cell>
          <cell r="D144" t="str">
            <v>OS</v>
          </cell>
          <cell r="E144" t="str">
            <v>OS</v>
          </cell>
          <cell r="F144" t="str">
            <v>OS-12163</v>
          </cell>
          <cell r="G144">
            <v>15000</v>
          </cell>
          <cell r="H144">
            <v>0</v>
          </cell>
          <cell r="I144" t="e">
            <v>#DIV/0!</v>
          </cell>
          <cell r="J144" t="e">
            <v>#DIV/0!</v>
          </cell>
        </row>
        <row r="145">
          <cell r="B145" t="str">
            <v>Intern</v>
          </cell>
          <cell r="H145">
            <v>0</v>
          </cell>
        </row>
        <row r="147">
          <cell r="I147" t="str">
            <v>Professional service fee</v>
          </cell>
        </row>
      </sheetData>
      <sheetData refreshError="1" sheetId="6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备忘"/>
      <sheetName val="FY18 CFG"/>
      <sheetName val="FY18 TTL PL"/>
      <sheetName val="ActualSGA (Division)"/>
      <sheetName val="FY18 SDD Prev"/>
      <sheetName val="FY18 SET Prev"/>
      <sheetName val="ActualSGA Prev"/>
      <sheetName val="Diff"/>
      <sheetName val="FY18 SDD"/>
      <sheetName val="FY18 SET"/>
      <sheetName val="SDD FY18OB"/>
      <sheetName val="SET FY18OB"/>
      <sheetName val="FY18 CFG (OB)"/>
      <sheetName val="FY18 OB"/>
      <sheetName val="Chart (Summary)"/>
      <sheetName val="Chart (Revenue)"/>
      <sheetName val="Chart (Cost)"/>
      <sheetName val="Chart (PL)"/>
      <sheetName val="Chart (Ratio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62">
          <cell r="B162" t="str">
            <v>SRDG</v>
          </cell>
        </row>
        <row r="163">
          <cell r="B163" t="str">
            <v>SVP</v>
          </cell>
        </row>
        <row r="165">
          <cell r="B165" t="str">
            <v>SIPS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OS fee prepayment"/>
      <sheetName val="CFG"/>
      <sheetName val="TTL PL"/>
      <sheetName val="FY16 SDD"/>
      <sheetName val="FY16 SET"/>
      <sheetName val="ActualSGA (Division)"/>
      <sheetName val="FY16 OB"/>
      <sheetName val="1H"/>
      <sheetName val="2H"/>
      <sheetName val="FY16通年"/>
      <sheetName val="当月"/>
      <sheetName val="前月vs当月vs翌月"/>
    </sheetNames>
    <sheetDataSet>
      <sheetData sheetId="0"/>
      <sheetData sheetId="1"/>
      <sheetData sheetId="2"/>
      <sheetData sheetId="3"/>
      <sheetData sheetId="4"/>
      <sheetData sheetId="5">
        <row r="33">
          <cell r="BA33">
            <v>298.96886000000001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备忘"/>
      <sheetName val="FY18 CFG Prev"/>
      <sheetName val="FY18 SDD Prev"/>
      <sheetName val="FY18 SET Prev"/>
      <sheetName val="ActualSGA Prev"/>
      <sheetName val="FY18 CFG"/>
      <sheetName val="FY18 TTL PL"/>
      <sheetName val="FY18 SDD"/>
      <sheetName val="FY18 SET"/>
      <sheetName val="Diff"/>
      <sheetName val="ActualSGA (Division)"/>
      <sheetName val="SDD FY18OB"/>
      <sheetName val="SET FY18OB"/>
      <sheetName val="FY18 CFG (OB)"/>
      <sheetName val="FY18 OB"/>
      <sheetName val="Chart (Summary)"/>
      <sheetName val="Chart (Revenue)"/>
      <sheetName val="Chart (Cost)"/>
      <sheetName val="Chart (PL)"/>
      <sheetName val="Chart (Ratio)"/>
    </sheetNames>
    <sheetDataSet>
      <sheetData sheetId="0"/>
      <sheetData sheetId="1">
        <row r="114">
          <cell r="Q114">
            <v>1645440.5081999996</v>
          </cell>
        </row>
        <row r="365">
          <cell r="Q365">
            <v>1044003.6400000005</v>
          </cell>
        </row>
        <row r="366">
          <cell r="Q366">
            <v>18233.48</v>
          </cell>
        </row>
        <row r="367">
          <cell r="Q367">
            <v>3125.69</v>
          </cell>
        </row>
        <row r="368">
          <cell r="Q368">
            <v>54179.780000000006</v>
          </cell>
        </row>
        <row r="369">
          <cell r="Q369">
            <v>88042.279999999941</v>
          </cell>
        </row>
        <row r="370">
          <cell r="Q370">
            <v>1207584.8700000006</v>
          </cell>
        </row>
        <row r="382">
          <cell r="Q382">
            <v>3545233.4499999997</v>
          </cell>
        </row>
        <row r="440">
          <cell r="Q440">
            <v>6016588.6369999992</v>
          </cell>
        </row>
        <row r="441">
          <cell r="Q441">
            <v>1535123.09</v>
          </cell>
        </row>
        <row r="442">
          <cell r="Q442">
            <v>1750665.1500000001</v>
          </cell>
        </row>
        <row r="443">
          <cell r="Q443">
            <v>89771.51</v>
          </cell>
        </row>
        <row r="444">
          <cell r="Q444">
            <v>285050.95999999996</v>
          </cell>
        </row>
        <row r="445">
          <cell r="Q445">
            <v>168477.64</v>
          </cell>
        </row>
        <row r="446">
          <cell r="Q446">
            <v>54027.079999999994</v>
          </cell>
        </row>
        <row r="447">
          <cell r="Q447">
            <v>966319.86700000009</v>
          </cell>
        </row>
        <row r="448">
          <cell r="Q448">
            <v>226952.43000000002</v>
          </cell>
        </row>
        <row r="449">
          <cell r="Q449">
            <v>247096.84000000003</v>
          </cell>
        </row>
        <row r="450">
          <cell r="Q450">
            <v>693104.07000000007</v>
          </cell>
        </row>
      </sheetData>
      <sheetData sheetId="2"/>
      <sheetData sheetId="3"/>
      <sheetData sheetId="4"/>
      <sheetData sheetId="5"/>
      <sheetData sheetId="6"/>
      <sheetData sheetId="7">
        <row r="156">
          <cell r="K156">
            <v>3417156</v>
          </cell>
          <cell r="L156">
            <v>3450756</v>
          </cell>
          <cell r="N156">
            <v>3450756</v>
          </cell>
          <cell r="O156">
            <v>3450756</v>
          </cell>
          <cell r="P156">
            <v>3450756</v>
          </cell>
          <cell r="Q156">
            <v>3450756</v>
          </cell>
          <cell r="R156">
            <v>3450756</v>
          </cell>
          <cell r="S156">
            <v>3450756</v>
          </cell>
        </row>
        <row r="157">
          <cell r="K157">
            <v>3465187</v>
          </cell>
          <cell r="L157">
            <v>3553229</v>
          </cell>
          <cell r="N157">
            <v>3282108.5</v>
          </cell>
          <cell r="O157">
            <v>3282108.5</v>
          </cell>
          <cell r="P157">
            <v>3159258.5</v>
          </cell>
          <cell r="Q157">
            <v>3119463.5</v>
          </cell>
          <cell r="R157">
            <v>3119463.5</v>
          </cell>
          <cell r="S157">
            <v>3119463.5</v>
          </cell>
        </row>
      </sheetData>
      <sheetData sheetId="8">
        <row r="96">
          <cell r="K96">
            <v>243820</v>
          </cell>
          <cell r="L96">
            <v>243820</v>
          </cell>
          <cell r="N96">
            <v>243820</v>
          </cell>
          <cell r="O96">
            <v>243820</v>
          </cell>
          <cell r="P96">
            <v>243820</v>
          </cell>
          <cell r="Q96">
            <v>243820</v>
          </cell>
          <cell r="R96">
            <v>243820</v>
          </cell>
          <cell r="S96">
            <v>243820</v>
          </cell>
          <cell r="U96">
            <v>3442340.64</v>
          </cell>
        </row>
        <row r="97">
          <cell r="K97">
            <v>304870.16666666663</v>
          </cell>
          <cell r="L97">
            <v>315205</v>
          </cell>
          <cell r="N97">
            <v>461265</v>
          </cell>
          <cell r="O97">
            <v>461265</v>
          </cell>
          <cell r="P97">
            <v>461265</v>
          </cell>
          <cell r="Q97">
            <v>461265</v>
          </cell>
          <cell r="R97">
            <v>315205</v>
          </cell>
          <cell r="S97">
            <v>315205</v>
          </cell>
          <cell r="U97">
            <v>4172313.0966666667</v>
          </cell>
        </row>
        <row r="98">
          <cell r="K98">
            <v>264784</v>
          </cell>
          <cell r="L98">
            <v>264784</v>
          </cell>
          <cell r="N98">
            <v>264784</v>
          </cell>
          <cell r="O98">
            <v>264784</v>
          </cell>
          <cell r="P98">
            <v>264784</v>
          </cell>
          <cell r="Q98">
            <v>264784</v>
          </cell>
          <cell r="R98">
            <v>264784</v>
          </cell>
          <cell r="S98">
            <v>264784</v>
          </cell>
          <cell r="U98">
            <v>3185296.37</v>
          </cell>
        </row>
        <row r="99">
          <cell r="K99">
            <v>1197261.53</v>
          </cell>
          <cell r="L99">
            <v>1435783.72</v>
          </cell>
          <cell r="N99">
            <v>1317911.53</v>
          </cell>
          <cell r="O99">
            <v>1241236.53</v>
          </cell>
          <cell r="P99">
            <v>1038496</v>
          </cell>
          <cell r="Q99">
            <v>1081909</v>
          </cell>
          <cell r="R99">
            <v>1110379</v>
          </cell>
          <cell r="S99">
            <v>1122379</v>
          </cell>
          <cell r="U99">
            <v>13819628.6</v>
          </cell>
        </row>
        <row r="100">
          <cell r="U100">
            <v>12881918.522500001</v>
          </cell>
        </row>
      </sheetData>
      <sheetData sheetId="9"/>
      <sheetData sheetId="10">
        <row r="49">
          <cell r="AY49">
            <v>41396.54715167488</v>
          </cell>
        </row>
        <row r="67">
          <cell r="AY67">
            <v>39956.878249999994</v>
          </cell>
        </row>
      </sheetData>
      <sheetData sheetId="11"/>
      <sheetData sheetId="12"/>
      <sheetData sheetId="13">
        <row r="56">
          <cell r="Q56">
            <v>1419651.2958776685</v>
          </cell>
        </row>
      </sheetData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备忘"/>
      <sheetName val="FY18 CFG Prev"/>
      <sheetName val="FY18 SDD Prev"/>
      <sheetName val="FY18 SET Prev"/>
      <sheetName val="ActualSGA Prev"/>
      <sheetName val="FY18 CFG"/>
      <sheetName val="FY18 TTL PL"/>
      <sheetName val="FY18 SDD"/>
      <sheetName val="FY18 SET"/>
      <sheetName val="Diff"/>
      <sheetName val="ActualSGA (Division)"/>
      <sheetName val="SDD FY18OB"/>
      <sheetName val="SET FY18OB"/>
      <sheetName val="FY18 CFG (OB)"/>
      <sheetName val="FY18 OB"/>
      <sheetName val="Chart (Summary)"/>
      <sheetName val="Chart (Revenue)"/>
      <sheetName val="Chart (Cost)"/>
      <sheetName val="Chart (PL)"/>
      <sheetName val="Chart (Ratio)"/>
    </sheetNames>
    <sheetDataSet>
      <sheetData sheetId="0"/>
      <sheetData sheetId="1"/>
      <sheetData sheetId="2"/>
      <sheetData sheetId="3"/>
      <sheetData sheetId="4"/>
      <sheetData sheetId="5">
        <row r="12">
          <cell r="Q12">
            <v>17340321.204399996</v>
          </cell>
        </row>
        <row r="46">
          <cell r="Q46">
            <v>12174460.433100002</v>
          </cell>
        </row>
        <row r="80">
          <cell r="Q80">
            <v>1321771.2153000003</v>
          </cell>
        </row>
        <row r="148">
          <cell r="Q148">
            <v>2637673.1805000002</v>
          </cell>
        </row>
        <row r="182">
          <cell r="Q182">
            <v>847835.33909999975</v>
          </cell>
        </row>
        <row r="216">
          <cell r="Q216">
            <v>2167478.6701999996</v>
          </cell>
        </row>
        <row r="250">
          <cell r="Q250">
            <v>3745630.5003000004</v>
          </cell>
        </row>
        <row r="284">
          <cell r="Q284">
            <v>3604924.1414999999</v>
          </cell>
        </row>
        <row r="315">
          <cell r="Q315">
            <v>265405.34149999998</v>
          </cell>
        </row>
        <row r="413">
          <cell r="Q413">
            <v>2356163.5315000005</v>
          </cell>
        </row>
        <row r="414">
          <cell r="Q414">
            <v>2090758.1899999997</v>
          </cell>
        </row>
      </sheetData>
      <sheetData sheetId="6"/>
      <sheetData sheetId="7">
        <row r="156">
          <cell r="J156">
            <v>3413796</v>
          </cell>
        </row>
      </sheetData>
      <sheetData sheetId="8">
        <row r="96">
          <cell r="J96">
            <v>243820</v>
          </cell>
        </row>
      </sheetData>
      <sheetData sheetId="9"/>
      <sheetData sheetId="10">
        <row r="49">
          <cell r="AY49">
            <v>41387.703344097077</v>
          </cell>
        </row>
      </sheetData>
      <sheetData sheetId="11"/>
      <sheetData sheetId="12">
        <row r="4">
          <cell r="U4">
            <v>165</v>
          </cell>
        </row>
      </sheetData>
      <sheetData sheetId="13">
        <row r="56">
          <cell r="Q56">
            <v>1419651.2958776685</v>
          </cell>
        </row>
      </sheetData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10.xml.rels><Relationships xmlns="http://schemas.openxmlformats.org/package/2006/relationships"><Relationship Id="comments" Target="/xl/comments/comment7.xml" Type="http://schemas.openxmlformats.org/officeDocument/2006/relationships/comments" /><Relationship Id="anysvml" Target="/xl/drawings/commentsDrawing7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 /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_rels/sheet4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7.xml.rels><Relationships xmlns="http://schemas.openxmlformats.org/package/2006/relationships"><Relationship Id="comments" Target="/xl/comments/comment4.xml" Type="http://schemas.openxmlformats.org/officeDocument/2006/relationships/comments" /><Relationship Id="anysvml" Target="/xl/drawings/commentsDrawing4.vml" Type="http://schemas.openxmlformats.org/officeDocument/2006/relationships/vmlDrawing" /></Relationships>
</file>

<file path=xl/worksheets/_rels/sheet8.xml.rels><Relationships xmlns="http://schemas.openxmlformats.org/package/2006/relationships"><Relationship Id="comments" Target="/xl/comments/comment5.xml" Type="http://schemas.openxmlformats.org/officeDocument/2006/relationships/comments" /><Relationship Id="anysvml" Target="/xl/drawings/commentsDrawing5.vml" Type="http://schemas.openxmlformats.org/officeDocument/2006/relationships/vmlDrawing" /></Relationships>
</file>

<file path=xl/worksheets/_rels/sheet9.xml.rels><Relationships xmlns="http://schemas.openxmlformats.org/package/2006/relationships"><Relationship Id="comments" Target="/xl/comments/comment6.xml" Type="http://schemas.openxmlformats.org/officeDocument/2006/relationships/comments" /><Relationship Id="anysvml" Target="/xl/drawings/commentsDrawing6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X77"/>
  <sheetViews>
    <sheetView topLeftCell="A18" workbookViewId="0" zoomScale="115" zoomScaleNormal="115">
      <selection activeCell="K56" sqref="K56"/>
    </sheetView>
  </sheetViews>
  <sheetFormatPr baseColWidth="8" defaultColWidth="8.875" defaultRowHeight="12" outlineLevelCol="0"/>
  <cols>
    <col customWidth="1" max="1" min="1" style="1832" width="2.75"/>
    <col bestFit="1" customWidth="1" max="2" min="2" style="1833" width="9.25"/>
    <col bestFit="1" customWidth="1" max="3" min="3" style="1833" width="10.375"/>
    <col bestFit="1" customWidth="1" max="4" min="4" style="1833" width="9.375"/>
    <col customWidth="1" max="5" min="5" style="1832" width="0.875"/>
    <col bestFit="1" customWidth="1" max="6" min="6" style="1832" width="9.75"/>
    <col bestFit="1" customWidth="1" max="7" min="7" style="1832" width="8.375"/>
    <col bestFit="1" customWidth="1" max="8" min="8" style="1832" width="9.125"/>
    <col customWidth="1" max="9" min="9" style="1832" width="0.25"/>
    <col customWidth="1" max="10" min="10" style="1832" width="8.125"/>
    <col bestFit="1" customWidth="1" max="11" min="11" style="1832" width="8.375"/>
    <col customWidth="1" max="12" min="12" style="1832" width="8.875"/>
    <col customWidth="1" max="13" min="13" style="1832" width="0.75"/>
    <col bestFit="1" customWidth="1" max="14" min="14" style="1832" width="9.75"/>
    <col bestFit="1" customWidth="1" max="15" min="15" style="1832" width="8.375"/>
    <col customWidth="1" max="16" min="16" style="1832" width="8.875"/>
    <col customWidth="1" max="17" min="17" style="1832" width="0.875"/>
    <col customWidth="1" max="20" min="18" style="1832" width="8.875"/>
    <col customWidth="1" max="21" min="21" style="1832" width="1"/>
    <col customWidth="1" max="16384" min="22" style="1832" width="8.875"/>
  </cols>
  <sheetData>
    <row r="2" spans="1:24">
      <c r="J2" s="1832" t="n"/>
      <c r="K2" s="1002" t="n"/>
      <c r="L2" s="1002" t="n"/>
      <c r="M2" s="1832" t="n"/>
      <c r="N2" s="1832" t="n"/>
      <c r="O2" s="1002" t="n"/>
      <c r="P2" s="1002" t="n"/>
      <c r="Q2" s="1832" t="n"/>
      <c r="R2" s="1832" t="n"/>
      <c r="S2" s="1002" t="n"/>
      <c r="T2" s="1002" t="n"/>
      <c r="U2" s="1832" t="n"/>
      <c r="V2" s="1832" t="n"/>
      <c r="W2" s="1002" t="n"/>
      <c r="X2" s="1002" t="n"/>
    </row>
    <row customFormat="1" customHeight="1" ht="20.45" r="3" s="1834" spans="1:24">
      <c r="B3" s="1835" t="s">
        <v>0</v>
      </c>
      <c r="E3" s="1834" t="n"/>
      <c r="F3" s="1836" t="s">
        <v>1</v>
      </c>
      <c r="J3" s="1837" t="s">
        <v>2</v>
      </c>
      <c r="N3" s="1837" t="s">
        <v>3</v>
      </c>
      <c r="R3" s="1837" t="s">
        <v>4</v>
      </c>
      <c r="V3" s="1837" t="s">
        <v>5</v>
      </c>
    </row>
    <row customFormat="1" customHeight="1" ht="24" r="4" s="1838" spans="1:24">
      <c r="B4" s="1839" t="s">
        <v>6</v>
      </c>
      <c r="C4" s="1839" t="s">
        <v>7</v>
      </c>
      <c r="D4" s="1839" t="s">
        <v>8</v>
      </c>
      <c r="E4" s="1838" t="n"/>
      <c r="F4" s="1840" t="s">
        <v>6</v>
      </c>
      <c r="G4" s="1840">
        <f>C4</f>
        <v/>
      </c>
      <c r="H4" s="1840">
        <f>D4</f>
        <v/>
      </c>
      <c r="J4" s="1840" t="s">
        <v>6</v>
      </c>
      <c r="K4" s="1840">
        <f>G4</f>
        <v/>
      </c>
      <c r="L4" s="1840">
        <f>H4</f>
        <v/>
      </c>
      <c r="N4" s="1840" t="s">
        <v>6</v>
      </c>
      <c r="O4" s="1840">
        <f>K4</f>
        <v/>
      </c>
      <c r="P4" s="1840">
        <f>L4</f>
        <v/>
      </c>
      <c r="R4" s="1840" t="s">
        <v>6</v>
      </c>
      <c r="S4" s="1840">
        <f>O4</f>
        <v/>
      </c>
      <c r="T4" s="1840">
        <f>P4</f>
        <v/>
      </c>
      <c r="V4" s="1840" t="s">
        <v>6</v>
      </c>
      <c r="W4" s="1840">
        <f>S4</f>
        <v/>
      </c>
      <c r="X4" s="1840">
        <f>T4</f>
        <v/>
      </c>
    </row>
    <row r="5" spans="1:24">
      <c r="B5" s="1841" t="s">
        <v>9</v>
      </c>
      <c r="C5" s="1006" t="n">
        <v>120000</v>
      </c>
      <c r="D5" s="1006" t="n">
        <v>120000</v>
      </c>
      <c r="E5" s="1842" t="n"/>
      <c r="F5" s="1841" t="s">
        <v>9</v>
      </c>
      <c r="G5" s="1007" t="n">
        <v>120000</v>
      </c>
      <c r="H5" s="1006" t="n">
        <v>120000</v>
      </c>
      <c r="I5" s="1842" t="n"/>
      <c r="J5" s="1841" t="s">
        <v>9</v>
      </c>
      <c r="K5" s="1007" t="n">
        <v>120000</v>
      </c>
      <c r="L5" s="1006" t="n">
        <v>120000</v>
      </c>
      <c r="M5" s="1842" t="n"/>
      <c r="N5" s="1841" t="s">
        <v>9</v>
      </c>
      <c r="O5" s="1007" t="n">
        <v>120000</v>
      </c>
      <c r="P5" s="1006" t="n">
        <v>120000</v>
      </c>
      <c r="Q5" s="1842" t="n"/>
      <c r="R5" s="1841" t="s">
        <v>9</v>
      </c>
      <c r="S5" s="1007" t="n">
        <v>120000</v>
      </c>
      <c r="T5" s="1006" t="n">
        <v>120000</v>
      </c>
      <c r="U5" s="1842" t="n"/>
      <c r="V5" s="1841" t="s">
        <v>9</v>
      </c>
      <c r="W5" s="1007" t="n">
        <v>120000</v>
      </c>
      <c r="X5" s="1006" t="n">
        <v>120000</v>
      </c>
    </row>
    <row r="6" spans="1:24">
      <c r="B6" s="1841" t="s">
        <v>10</v>
      </c>
      <c r="C6" s="1006" t="n">
        <v>110000</v>
      </c>
      <c r="D6" s="1006" t="n">
        <v>110000</v>
      </c>
      <c r="E6" s="1842" t="n"/>
      <c r="F6" s="1841" t="s">
        <v>10</v>
      </c>
      <c r="G6" s="1007" t="n">
        <v>110000</v>
      </c>
      <c r="H6" s="1006" t="n">
        <v>110000</v>
      </c>
      <c r="I6" s="1842" t="n"/>
      <c r="J6" s="1841" t="s">
        <v>10</v>
      </c>
      <c r="K6" s="1007" t="n">
        <v>110000</v>
      </c>
      <c r="L6" s="1006" t="n">
        <v>110000</v>
      </c>
      <c r="M6" s="1842" t="n"/>
      <c r="N6" s="1841" t="s">
        <v>10</v>
      </c>
      <c r="O6" s="1007" t="n">
        <v>110000</v>
      </c>
      <c r="P6" s="1006" t="n">
        <v>110000</v>
      </c>
      <c r="Q6" s="1842" t="n"/>
      <c r="R6" s="1841" t="s">
        <v>10</v>
      </c>
      <c r="S6" s="1007" t="n">
        <v>110000</v>
      </c>
      <c r="T6" s="1006" t="n">
        <v>110000</v>
      </c>
      <c r="U6" s="1842" t="n"/>
      <c r="V6" s="1841" t="s">
        <v>10</v>
      </c>
      <c r="W6" s="1007" t="n">
        <v>110000</v>
      </c>
      <c r="X6" s="1006" t="n">
        <v>110000</v>
      </c>
    </row>
    <row customHeight="1" ht="12.75" r="7" s="1843" spans="1:24" thickBot="1">
      <c r="B7" s="1844" t="s">
        <v>11</v>
      </c>
      <c r="C7" s="22" t="n">
        <v>100000</v>
      </c>
      <c r="D7" s="22" t="n">
        <v>100000</v>
      </c>
      <c r="E7" s="1845" t="n"/>
      <c r="F7" s="1844" t="s">
        <v>11</v>
      </c>
      <c r="G7" s="21" t="n">
        <v>100000</v>
      </c>
      <c r="H7" s="22" t="n">
        <v>100000</v>
      </c>
      <c r="I7" s="1845" t="n"/>
      <c r="J7" s="1844" t="s">
        <v>11</v>
      </c>
      <c r="K7" s="21" t="n">
        <v>100000</v>
      </c>
      <c r="L7" s="22" t="n">
        <v>100000</v>
      </c>
      <c r="M7" s="1845" t="n"/>
      <c r="N7" s="1844" t="s">
        <v>11</v>
      </c>
      <c r="O7" s="21" t="n">
        <v>100000</v>
      </c>
      <c r="P7" s="22" t="n">
        <v>100000</v>
      </c>
      <c r="Q7" s="1845" t="n"/>
      <c r="R7" s="1844" t="s">
        <v>11</v>
      </c>
      <c r="S7" s="21" t="n">
        <v>100000</v>
      </c>
      <c r="T7" s="22" t="n">
        <v>100000</v>
      </c>
      <c r="U7" s="1845" t="n"/>
      <c r="V7" s="1844" t="s">
        <v>11</v>
      </c>
      <c r="W7" s="21" t="n">
        <v>100000</v>
      </c>
      <c r="X7" s="22" t="n">
        <v>100000</v>
      </c>
    </row>
    <row customHeight="1" ht="12.75" r="8" s="1843" spans="1:24" thickTop="1">
      <c r="B8" s="1846" t="s">
        <v>12</v>
      </c>
      <c r="C8" s="1847" t="n">
        <v>52500</v>
      </c>
      <c r="D8" s="1847" t="n">
        <v>52500</v>
      </c>
      <c r="F8" s="1846" t="s">
        <v>12</v>
      </c>
      <c r="G8" s="1848" t="n">
        <v>56000</v>
      </c>
      <c r="H8" s="1849">
        <f>G8</f>
        <v/>
      </c>
      <c r="J8" s="1846" t="s">
        <v>12</v>
      </c>
      <c r="K8" s="1848">
        <f>G8*(1-K$2)</f>
        <v/>
      </c>
      <c r="L8" s="1012">
        <f>$H8*(1-L$2)</f>
        <v/>
      </c>
      <c r="N8" s="1846" t="s">
        <v>12</v>
      </c>
      <c r="O8" s="1848">
        <f>G8*(1-O$2)</f>
        <v/>
      </c>
      <c r="P8" s="1012">
        <f>$H8*(1-P$2)</f>
        <v/>
      </c>
      <c r="R8" s="1846" t="s">
        <v>12</v>
      </c>
      <c r="S8" s="1848">
        <f>G8</f>
        <v/>
      </c>
      <c r="T8" s="1012">
        <f>$H8*(1-T$2)</f>
        <v/>
      </c>
      <c r="V8" s="1846" t="s">
        <v>12</v>
      </c>
      <c r="W8" s="1848">
        <f>G8</f>
        <v/>
      </c>
      <c r="X8" s="1012">
        <f>$H8*(1-X$2)</f>
        <v/>
      </c>
    </row>
    <row r="9" spans="1:24">
      <c r="B9" s="1850" t="s">
        <v>13</v>
      </c>
      <c r="C9" s="1851" t="n">
        <v>52500</v>
      </c>
      <c r="D9" s="1851" t="n">
        <v>52500</v>
      </c>
      <c r="F9" s="1850" t="s">
        <v>13</v>
      </c>
      <c r="G9" s="1852" t="n">
        <v>52500</v>
      </c>
      <c r="H9" s="1853">
        <f>G9</f>
        <v/>
      </c>
      <c r="J9" s="1850" t="s">
        <v>13</v>
      </c>
      <c r="K9" s="1852">
        <f>G9*(1-K$2)</f>
        <v/>
      </c>
      <c r="L9" s="1028">
        <f>$H9*(1-L$2)</f>
        <v/>
      </c>
      <c r="N9" s="1850" t="s">
        <v>13</v>
      </c>
      <c r="O9" s="1852">
        <f>G9*(1-O$2)</f>
        <v/>
      </c>
      <c r="P9" s="1028">
        <f>$H9*(1-P$2)</f>
        <v/>
      </c>
      <c r="R9" s="1850" t="s">
        <v>13</v>
      </c>
      <c r="S9" s="1848">
        <f>G9</f>
        <v/>
      </c>
      <c r="T9" s="1028">
        <f>$H9*(1-T$2)</f>
        <v/>
      </c>
      <c r="V9" s="1850" t="s">
        <v>13</v>
      </c>
      <c r="W9" s="1848">
        <f>G9</f>
        <v/>
      </c>
      <c r="X9" s="1028">
        <f>$H9*(1-X$2)</f>
        <v/>
      </c>
    </row>
    <row r="10" spans="1:24">
      <c r="B10" s="1850" t="s">
        <v>14</v>
      </c>
      <c r="C10" s="1851" t="n">
        <v>47000</v>
      </c>
      <c r="D10" s="1851" t="n">
        <v>47000</v>
      </c>
      <c r="F10" s="1850" t="s">
        <v>14</v>
      </c>
      <c r="G10" s="1852" t="n">
        <v>49400</v>
      </c>
      <c r="H10" s="1853">
        <f>G10</f>
        <v/>
      </c>
      <c r="J10" s="1850" t="s">
        <v>14</v>
      </c>
      <c r="K10" s="1852">
        <f>G10*(1-K$2)</f>
        <v/>
      </c>
      <c r="L10" s="1028">
        <f>$H10*(1-L$2)</f>
        <v/>
      </c>
      <c r="N10" s="1850" t="s">
        <v>14</v>
      </c>
      <c r="O10" s="1852">
        <f>G10*(1-O$2)</f>
        <v/>
      </c>
      <c r="P10" s="1028">
        <f>$H10*(1-P$2)</f>
        <v/>
      </c>
      <c r="R10" s="1850" t="s">
        <v>14</v>
      </c>
      <c r="S10" s="1848">
        <f>G10</f>
        <v/>
      </c>
      <c r="T10" s="1028">
        <f>$H10*(1-T$2)</f>
        <v/>
      </c>
      <c r="V10" s="1850" t="s">
        <v>14</v>
      </c>
      <c r="W10" s="1848">
        <f>G10</f>
        <v/>
      </c>
      <c r="X10" s="1028">
        <f>$H10*(1-X$2)</f>
        <v/>
      </c>
    </row>
    <row r="11" spans="1:24">
      <c r="B11" s="1850" t="s">
        <v>15</v>
      </c>
      <c r="C11" s="1851" t="n">
        <v>42000</v>
      </c>
      <c r="D11" s="1851" t="n">
        <v>42000</v>
      </c>
      <c r="F11" s="1850" t="s">
        <v>15</v>
      </c>
      <c r="G11" s="1852" t="n">
        <v>43100</v>
      </c>
      <c r="H11" s="1853">
        <f>G11</f>
        <v/>
      </c>
      <c r="J11" s="1850" t="s">
        <v>15</v>
      </c>
      <c r="K11" s="1852">
        <f>G11*(1-K$2)</f>
        <v/>
      </c>
      <c r="L11" s="1028">
        <f>$H11*(1-L$2)</f>
        <v/>
      </c>
      <c r="N11" s="1850" t="s">
        <v>15</v>
      </c>
      <c r="O11" s="1852">
        <f>G11*(1-O$2)</f>
        <v/>
      </c>
      <c r="P11" s="1028">
        <f>$H11*(1-P$2)</f>
        <v/>
      </c>
      <c r="R11" s="1850" t="s">
        <v>15</v>
      </c>
      <c r="S11" s="1848">
        <f>G11</f>
        <v/>
      </c>
      <c r="T11" s="1028">
        <f>$H11*(1-T$2)</f>
        <v/>
      </c>
      <c r="V11" s="1850" t="s">
        <v>15</v>
      </c>
      <c r="W11" s="1848">
        <f>G11</f>
        <v/>
      </c>
      <c r="X11" s="1028">
        <f>$H11*(1-X$2)</f>
        <v/>
      </c>
    </row>
    <row r="12" spans="1:24">
      <c r="B12" s="1850" t="s">
        <v>16</v>
      </c>
      <c r="C12" s="1851" t="n">
        <v>35000</v>
      </c>
      <c r="D12" s="1851" t="n">
        <v>35000</v>
      </c>
      <c r="F12" s="1850" t="s">
        <v>16</v>
      </c>
      <c r="G12" s="1852" t="n">
        <v>32600</v>
      </c>
      <c r="H12" s="1853">
        <f>G12</f>
        <v/>
      </c>
      <c r="J12" s="1850" t="s">
        <v>16</v>
      </c>
      <c r="K12" s="1852">
        <f>G12*(1-K$2)</f>
        <v/>
      </c>
      <c r="L12" s="1028">
        <f>$H12*(1-L$2)</f>
        <v/>
      </c>
      <c r="N12" s="1850" t="s">
        <v>16</v>
      </c>
      <c r="O12" s="1852">
        <f>G12*(1-O$2)</f>
        <v/>
      </c>
      <c r="P12" s="1028">
        <f>$H12*(1-P$2)</f>
        <v/>
      </c>
      <c r="R12" s="1850" t="s">
        <v>16</v>
      </c>
      <c r="S12" s="1848">
        <f>G12</f>
        <v/>
      </c>
      <c r="T12" s="1028">
        <f>$H12*(1-T$2)</f>
        <v/>
      </c>
      <c r="V12" s="1850" t="s">
        <v>16</v>
      </c>
      <c r="W12" s="1848">
        <f>G12</f>
        <v/>
      </c>
      <c r="X12" s="1028">
        <f>$H12*(1-X$2)</f>
        <v/>
      </c>
    </row>
    <row r="13" spans="1:24">
      <c r="B13" s="1854" t="n"/>
      <c r="C13" s="1854" t="n"/>
      <c r="D13" s="1855" t="n"/>
      <c r="F13" s="1856" t="n"/>
      <c r="G13" s="1856" t="n"/>
      <c r="H13" s="1021" t="n"/>
      <c r="J13" s="1856" t="n"/>
      <c r="K13" s="1856" t="n"/>
      <c r="L13" s="1021" t="n"/>
      <c r="N13" s="1856" t="n"/>
      <c r="O13" s="1856" t="n"/>
      <c r="P13" s="1021" t="n"/>
      <c r="R13" s="1856" t="n"/>
      <c r="S13" s="1856" t="n"/>
      <c r="T13" s="1021" t="n"/>
      <c r="V13" s="1856" t="n"/>
      <c r="W13" s="1856" t="n"/>
      <c r="X13" s="1021" t="n"/>
    </row>
    <row customHeight="1" ht="14.25" r="14" s="1843" spans="1:24">
      <c r="B14" s="1850" t="s">
        <v>17</v>
      </c>
      <c r="C14" s="1022">
        <f>H39</f>
        <v/>
      </c>
      <c r="D14" s="1023">
        <f>F39</f>
        <v/>
      </c>
      <c r="F14" s="1850" t="s">
        <v>18</v>
      </c>
      <c r="G14" s="1857" t="n"/>
      <c r="H14" s="1858" t="n"/>
      <c r="J14" s="1859" t="s">
        <v>18</v>
      </c>
      <c r="K14" s="1857">
        <f>H44</f>
        <v/>
      </c>
      <c r="L14" s="1858">
        <f>F44</f>
        <v/>
      </c>
      <c r="N14" s="1859" t="s">
        <v>19</v>
      </c>
      <c r="O14" s="1857">
        <f>H46</f>
        <v/>
      </c>
      <c r="P14" s="1858">
        <f>F46</f>
        <v/>
      </c>
      <c r="R14" s="1859" t="s">
        <v>18</v>
      </c>
      <c r="S14" s="1857">
        <f>H41</f>
        <v/>
      </c>
      <c r="T14" s="1858">
        <f>F41</f>
        <v/>
      </c>
      <c r="V14" s="1859" t="s">
        <v>18</v>
      </c>
      <c r="W14" s="1857">
        <f>H51</f>
        <v/>
      </c>
      <c r="X14" s="1858">
        <f>F51</f>
        <v/>
      </c>
    </row>
    <row customHeight="1" ht="14.25" r="15" s="1843" spans="1:24">
      <c r="B15" s="1850" t="s">
        <v>20</v>
      </c>
      <c r="C15" s="1022">
        <f>H40</f>
        <v/>
      </c>
      <c r="D15" s="1023">
        <f>F40</f>
        <v/>
      </c>
      <c r="F15" s="1850" t="n"/>
      <c r="G15" s="1852" t="n"/>
      <c r="H15" s="1028" t="n"/>
      <c r="J15" s="1859" t="s">
        <v>21</v>
      </c>
      <c r="K15" s="1857" t="n"/>
      <c r="L15" s="1860" t="n"/>
      <c r="N15" s="1859" t="s">
        <v>22</v>
      </c>
      <c r="O15" s="1857">
        <f>H47</f>
        <v/>
      </c>
      <c r="P15" s="1858">
        <f>F47</f>
        <v/>
      </c>
      <c r="R15" s="1859" t="n"/>
      <c r="S15" s="1857" t="n"/>
      <c r="T15" s="1858" t="n"/>
      <c r="V15" s="1859" t="s">
        <v>21</v>
      </c>
      <c r="W15" s="1857">
        <f>H53</f>
        <v/>
      </c>
      <c r="X15" s="1858">
        <f>F53</f>
        <v/>
      </c>
    </row>
    <row r="16" spans="1:24">
      <c r="B16" s="1861" t="n"/>
      <c r="C16" s="1861" t="n"/>
      <c r="D16" s="1855" t="n"/>
      <c r="E16" s="1834" t="n"/>
      <c r="F16" s="1862" t="n"/>
      <c r="G16" s="1862" t="n"/>
      <c r="H16" s="1021" t="n"/>
      <c r="J16" s="1863" t="n"/>
      <c r="K16" s="1863" t="n"/>
      <c r="L16" s="1033" t="n"/>
      <c r="N16" s="1862" t="n"/>
      <c r="O16" s="1862" t="n"/>
      <c r="P16" s="1021" t="n"/>
      <c r="R16" s="1862" t="n"/>
      <c r="S16" s="1862" t="n"/>
      <c r="T16" s="1021" t="n"/>
      <c r="V16" s="1862" t="n"/>
      <c r="W16" s="1862" t="n"/>
      <c r="X16" s="1021" t="n"/>
    </row>
    <row customFormat="1" r="17" s="1864" spans="1:24">
      <c r="B17" s="1865" t="n"/>
      <c r="C17" s="1865" t="n"/>
      <c r="D17" s="1865" t="n"/>
      <c r="E17" s="1864" t="n"/>
      <c r="G17" s="1864" t="n"/>
      <c r="H17" s="1864" t="n"/>
      <c r="I17" s="1864" t="n"/>
      <c r="K17" s="1864" t="n"/>
      <c r="L17" s="1864" t="n"/>
      <c r="M17" s="1864" t="n"/>
      <c r="N17" s="1864" t="n"/>
      <c r="O17" s="1864" t="n"/>
      <c r="P17" s="1864" t="n"/>
      <c r="Q17" s="1864" t="n"/>
      <c r="R17" s="1864" t="n"/>
    </row>
    <row customFormat="1" r="18" s="1864" spans="1:24">
      <c r="B18" s="1865" t="n"/>
      <c r="C18" s="1865" t="n"/>
      <c r="D18" s="1865" t="n"/>
      <c r="E18" s="1864" t="n"/>
      <c r="G18" s="1864" t="n"/>
      <c r="H18" s="1864" t="n"/>
      <c r="I18" s="1864" t="n"/>
      <c r="K18" s="1864" t="n"/>
      <c r="L18" s="1864" t="n"/>
      <c r="M18" s="1864" t="n"/>
      <c r="N18" s="1864" t="n"/>
      <c r="O18" s="1864" t="n"/>
      <c r="P18" s="1864" t="n"/>
      <c r="Q18" s="1864" t="n"/>
      <c r="R18" s="1864" t="n"/>
    </row>
    <row customFormat="1" r="19" s="1864" spans="1:24">
      <c r="B19" s="1865" t="n"/>
      <c r="C19" s="1865" t="n"/>
      <c r="D19" s="1865" t="n"/>
      <c r="E19" s="1864" t="n"/>
      <c r="G19" s="1864" t="n"/>
      <c r="H19" s="1864" t="n"/>
      <c r="I19" s="1864" t="n"/>
      <c r="J19" s="1866" t="n"/>
      <c r="K19" s="1866" t="n"/>
      <c r="L19" s="1864" t="n"/>
      <c r="M19" s="1864" t="n"/>
      <c r="N19" s="1864" t="n"/>
      <c r="O19" s="1864" t="n"/>
      <c r="P19" s="1864" t="n"/>
      <c r="Q19" s="1864" t="n"/>
      <c r="R19" s="1864" t="n"/>
    </row>
    <row customFormat="1" r="20" s="1864" spans="1:24">
      <c r="B20" s="1865" t="n"/>
      <c r="C20" s="1865" t="n"/>
      <c r="D20" s="1865" t="n"/>
      <c r="E20" s="1864" t="n"/>
      <c r="G20" s="1864" t="n"/>
      <c r="H20" s="1864" t="n"/>
      <c r="I20" s="1864" t="n"/>
      <c r="J20" s="1864" t="n"/>
      <c r="K20" s="1864" t="n"/>
      <c r="L20" s="1864" t="n"/>
      <c r="M20" s="1864" t="n"/>
      <c r="N20" s="1864" t="n"/>
      <c r="O20" s="1864" t="n"/>
      <c r="P20" s="1864" t="n"/>
      <c r="Q20" s="1864" t="n"/>
      <c r="R20" s="1864" t="n"/>
    </row>
    <row customFormat="1" r="21" s="1864" spans="1:24">
      <c r="B21" s="1865" t="n"/>
      <c r="C21" s="1865" t="n"/>
      <c r="D21" s="1865" t="n"/>
      <c r="E21" s="1864" t="n"/>
      <c r="G21" s="1864" t="n"/>
      <c r="H21" s="1864" t="n"/>
      <c r="I21" s="1864" t="n"/>
      <c r="J21" s="1864" t="n"/>
      <c r="K21" s="1864" t="n"/>
      <c r="L21" s="1864" t="n"/>
      <c r="M21" s="1864" t="n"/>
      <c r="N21" s="1864" t="n"/>
      <c r="O21" s="1864" t="n"/>
      <c r="P21" s="1864" t="n"/>
      <c r="Q21" s="1864" t="n"/>
      <c r="R21" s="1864" t="n"/>
    </row>
    <row customFormat="1" r="22" s="1864" spans="1:24">
      <c r="B22" s="1865" t="n"/>
      <c r="C22" s="1865" t="n"/>
      <c r="D22" s="1865" t="n"/>
      <c r="E22" s="1864" t="n"/>
      <c r="G22" s="1864" t="n"/>
      <c r="H22" s="1864" t="n"/>
      <c r="I22" s="1864" t="n"/>
      <c r="J22" s="1864" t="n"/>
      <c r="K22" s="1864" t="n"/>
      <c r="L22" s="1864" t="n"/>
      <c r="M22" s="1864" t="n"/>
      <c r="N22" s="1864" t="n"/>
      <c r="O22" s="1864" t="n"/>
      <c r="P22" s="1864" t="n"/>
      <c r="Q22" s="1864" t="n"/>
      <c r="R22" s="1864" t="n"/>
    </row>
    <row customHeight="1" ht="15" r="23" s="1843" spans="1:24">
      <c r="F23" s="43" t="n"/>
      <c r="G23" s="1867" t="n"/>
      <c r="J23" s="1832" t="n"/>
      <c r="K23" s="1832" t="n"/>
      <c r="L23" s="1832" t="n"/>
      <c r="M23" s="1832" t="n"/>
      <c r="N23" s="1832" t="n"/>
    </row>
    <row customHeight="1" ht="12.75" r="24" s="1843" spans="1:24">
      <c r="A24" s="1868" t="n"/>
      <c r="B24" s="1869" t="s">
        <v>23</v>
      </c>
      <c r="D24" s="1114" t="s">
        <v>24</v>
      </c>
      <c r="E24" s="1870" t="n"/>
      <c r="F24" s="1114" t="s">
        <v>25</v>
      </c>
      <c r="G24" s="1114" t="s">
        <v>26</v>
      </c>
      <c r="H24" s="1871" t="s">
        <v>27</v>
      </c>
      <c r="I24" s="1872" t="n"/>
      <c r="J24" s="1873" t="s">
        <v>28</v>
      </c>
      <c r="K24" s="1873" t="s">
        <v>29</v>
      </c>
      <c r="L24" s="1832" t="n"/>
      <c r="M24" s="1832" t="n"/>
      <c r="N24" s="1832" t="n"/>
      <c r="O24" s="1832" t="n"/>
    </row>
    <row customHeight="1" hidden="1" ht="15.75" r="25" s="1843" spans="1:24">
      <c r="B25" s="1874" t="s">
        <v>30</v>
      </c>
      <c r="C25" s="1875" t="s">
        <v>31</v>
      </c>
      <c r="D25" s="1876" t="n">
        <v>139221.5378</v>
      </c>
      <c r="F25" s="1877" t="n"/>
      <c r="G25" s="1877" t="n"/>
      <c r="H25" s="1832" t="s">
        <v>32</v>
      </c>
      <c r="K25" s="1838" t="n"/>
      <c r="L25" s="1866" t="n"/>
      <c r="M25" s="1878" t="n"/>
      <c r="N25" s="1832" t="n"/>
      <c r="O25" s="1832" t="n"/>
    </row>
    <row hidden="1" r="26" s="1843" spans="1:24">
      <c r="C26" s="1875" t="s">
        <v>33</v>
      </c>
      <c r="D26" s="1876" t="n"/>
      <c r="F26" s="1877" t="n"/>
      <c r="G26" s="1877" t="n"/>
      <c r="K26" s="1838" t="n"/>
      <c r="L26" s="1866" t="n"/>
      <c r="M26" s="1878" t="n"/>
      <c r="N26" s="1832" t="n"/>
      <c r="O26" s="1832" t="n"/>
    </row>
    <row hidden="1" r="27" s="1843" spans="1:24">
      <c r="C27" s="1875" t="s">
        <v>34</v>
      </c>
      <c r="D27" s="1876" t="n">
        <v>98246.29120000001</v>
      </c>
      <c r="F27" s="1877" t="n"/>
      <c r="G27" s="1877" t="n"/>
      <c r="K27" s="1838" t="n"/>
      <c r="L27" s="1866" t="n"/>
      <c r="M27" s="1878" t="n"/>
      <c r="N27" s="1832" t="n"/>
      <c r="O27" s="1832" t="n"/>
    </row>
    <row hidden="1" r="28" s="1843" spans="1:24">
      <c r="C28" s="1875" t="s">
        <v>35</v>
      </c>
      <c r="D28" s="1876" t="n">
        <v>74669.3876</v>
      </c>
      <c r="F28" s="1877" t="n"/>
      <c r="G28" s="1877" t="n"/>
    </row>
    <row hidden="1" r="29" s="1843" spans="1:24">
      <c r="C29" s="1879" t="s">
        <v>36</v>
      </c>
      <c r="D29" s="1880" t="n">
        <v>41519.7711</v>
      </c>
      <c r="F29" s="1881" t="n"/>
      <c r="G29" s="1881" t="n"/>
    </row>
    <row customHeight="1" hidden="1" ht="8.449999999999999" r="30" s="1843" spans="1:24">
      <c r="B30" s="1874" t="n"/>
      <c r="C30" s="1875" t="n"/>
      <c r="D30" s="1876" t="n"/>
      <c r="F30" s="1877" t="n"/>
      <c r="G30" s="1877" t="n"/>
    </row>
    <row hidden="1" r="31" s="1843" spans="1:24">
      <c r="A31" s="1832" t="n"/>
      <c r="B31" s="1874" t="s">
        <v>37</v>
      </c>
      <c r="C31" s="1875" t="s">
        <v>38</v>
      </c>
      <c r="D31" s="1876" t="n">
        <v>89767.33</v>
      </c>
      <c r="E31" s="1832" t="n"/>
      <c r="F31" s="1877" t="n"/>
      <c r="G31" s="1877" t="n"/>
    </row>
    <row hidden="1" r="32" s="1843" spans="1:24">
      <c r="A32" s="1832" t="n"/>
      <c r="C32" s="1875" t="s">
        <v>12</v>
      </c>
      <c r="D32" s="1876" t="n">
        <v>50484.84</v>
      </c>
      <c r="E32" s="1832" t="n"/>
      <c r="F32" s="1877" t="n"/>
      <c r="G32" s="1877" t="n"/>
      <c r="K32" s="1838" t="n"/>
      <c r="L32" s="1866" t="n"/>
      <c r="M32" s="1878" t="n"/>
      <c r="N32" s="1832" t="n"/>
      <c r="O32" s="1832" t="n"/>
    </row>
    <row hidden="1" r="33" s="1843" spans="1:24">
      <c r="A33" s="1832" t="n"/>
      <c r="C33" s="1875" t="s">
        <v>13</v>
      </c>
      <c r="D33" s="1876" t="n">
        <v>40711.58</v>
      </c>
      <c r="E33" s="1832" t="n"/>
      <c r="F33" s="1877" t="n"/>
      <c r="G33" s="1877" t="n"/>
      <c r="K33" s="1838" t="n"/>
      <c r="L33" s="1866" t="n"/>
      <c r="M33" s="1882" t="n"/>
      <c r="N33" s="1832" t="n"/>
      <c r="O33" s="1832" t="n"/>
    </row>
    <row hidden="1" r="34" s="1843" spans="1:24">
      <c r="A34" s="1832" t="n"/>
      <c r="C34" s="1875" t="s">
        <v>14</v>
      </c>
      <c r="D34" s="1876" t="n">
        <v>30544.59</v>
      </c>
      <c r="E34" s="1832" t="n"/>
      <c r="F34" s="1877" t="n"/>
      <c r="G34" s="1877" t="n"/>
      <c r="K34" s="1838" t="n"/>
      <c r="L34" s="1866" t="n"/>
      <c r="M34" s="1832" t="n"/>
      <c r="N34" s="1832" t="n"/>
      <c r="O34" s="1832" t="n"/>
    </row>
    <row hidden="1" r="35" s="1843" spans="1:24">
      <c r="A35" s="1832" t="n"/>
      <c r="C35" s="1875" t="s">
        <v>15</v>
      </c>
      <c r="D35" s="1876" t="n">
        <v>21153.84</v>
      </c>
      <c r="E35" s="1832" t="n"/>
      <c r="F35" s="1877" t="n"/>
      <c r="G35" s="1877" t="n"/>
      <c r="K35" s="1832" t="n"/>
      <c r="L35" s="1832" t="n"/>
      <c r="M35" s="1878" t="n"/>
      <c r="N35" s="1832" t="n"/>
      <c r="O35" s="1832" t="n"/>
    </row>
    <row customHeight="1" hidden="1" ht="12.75" r="36" s="1843" spans="1:24" thickBot="1">
      <c r="A36" s="1883" t="n"/>
      <c r="C36" s="1884" t="s">
        <v>16</v>
      </c>
      <c r="D36" s="1885" t="n">
        <v>15707.17</v>
      </c>
      <c r="E36" s="1883" t="n"/>
      <c r="F36" s="1886" t="n"/>
      <c r="G36" s="1877" t="n"/>
      <c r="L36" s="1832" t="n"/>
      <c r="M36" s="1832" t="n"/>
      <c r="N36" s="1832" t="n"/>
      <c r="O36" s="1832" t="n"/>
    </row>
    <row customHeight="1" hidden="1" ht="4.5" r="37" s="1843" spans="1:24" thickBot="1">
      <c r="A37" s="1883" t="n"/>
      <c r="B37" s="1887" t="n"/>
      <c r="C37" s="1888" t="n"/>
      <c r="D37" s="1889" t="n"/>
      <c r="E37" s="1883" t="n"/>
      <c r="F37" s="1890" t="n"/>
      <c r="G37" s="1891" t="n"/>
      <c r="L37" s="1832" t="n"/>
      <c r="M37" s="1832" t="n"/>
      <c r="N37" s="1832" t="n"/>
      <c r="O37" s="1832" t="n"/>
    </row>
    <row customFormat="1" customHeight="1" hidden="1" ht="3.75" r="38" s="1832" spans="1:24" thickBot="1" thickTop="1">
      <c r="A38" s="1892" t="n"/>
      <c r="B38" s="1893" t="n"/>
      <c r="C38" s="1894" t="n"/>
      <c r="D38" s="1895" t="n"/>
      <c r="E38" s="1892" t="n"/>
      <c r="F38" s="1896" t="n"/>
      <c r="G38" s="1896" t="n"/>
      <c r="L38" s="1832" t="n"/>
      <c r="M38" s="1832" t="n"/>
      <c r="N38" s="1832" t="n"/>
      <c r="O38" s="1832" t="n"/>
    </row>
    <row r="39" spans="1:24">
      <c r="B39" s="1897" t="s">
        <v>39</v>
      </c>
      <c r="C39" s="1898" t="s">
        <v>40</v>
      </c>
      <c r="D39" s="1899" t="n">
        <v>22000</v>
      </c>
      <c r="E39" s="1832" t="n"/>
      <c r="F39" s="1900" t="n">
        <v>20500</v>
      </c>
      <c r="G39" s="1901" t="n">
        <v>20900</v>
      </c>
      <c r="H39" s="1902" t="n">
        <v>20500</v>
      </c>
      <c r="I39" s="1903" t="n"/>
      <c r="J39" s="1903" t="n">
        <v>20500</v>
      </c>
      <c r="K39" s="1903">
        <f>J39*1.02</f>
        <v/>
      </c>
      <c r="L39" s="1832" t="n"/>
      <c r="M39" s="1832" t="n"/>
      <c r="N39" s="1832" t="n"/>
      <c r="O39" s="1832" t="n"/>
    </row>
    <row customHeight="1" ht="12.75" r="40" s="1843" spans="1:24" thickBot="1">
      <c r="C40" s="1884" t="s">
        <v>41</v>
      </c>
      <c r="D40" s="1904" t="n">
        <v>19500</v>
      </c>
      <c r="E40" s="1883" t="n"/>
      <c r="F40" s="1900" t="n">
        <v>19500</v>
      </c>
      <c r="G40" s="1905" t="n">
        <v>20500</v>
      </c>
      <c r="H40" s="1906" t="n">
        <v>19100</v>
      </c>
      <c r="I40" s="1903" t="n"/>
      <c r="J40" s="1903" t="n">
        <v>20000</v>
      </c>
      <c r="K40" s="1903">
        <f>J40*1.02</f>
        <v/>
      </c>
      <c r="L40" s="1832" t="n"/>
      <c r="M40" s="1832" t="n"/>
      <c r="N40" s="1832" t="n"/>
      <c r="O40" s="1832" t="n"/>
    </row>
    <row customHeight="1" ht="12.75" r="41" s="1843" spans="1:24" thickTop="1">
      <c r="B41" s="1907" t="s">
        <v>42</v>
      </c>
      <c r="C41" s="1898" t="s">
        <v>43</v>
      </c>
      <c r="D41" s="1908" t="n">
        <v>14300</v>
      </c>
      <c r="E41" s="1832" t="n"/>
      <c r="F41" s="1900" t="n">
        <v>12200</v>
      </c>
      <c r="G41" s="1905" t="n">
        <v>13500</v>
      </c>
      <c r="H41" s="1906" t="n"/>
      <c r="I41" s="1903" t="n"/>
      <c r="J41" s="1903" t="n">
        <v>13200</v>
      </c>
      <c r="K41" s="1903">
        <f>J41*1.02</f>
        <v/>
      </c>
      <c r="L41" s="1832" t="n"/>
      <c r="M41" s="1832" t="n"/>
      <c r="N41" s="1832" t="n"/>
      <c r="O41" s="1832" t="n"/>
    </row>
    <row customHeight="1" ht="12.75" r="42" s="1843" spans="1:24" thickBot="1">
      <c r="C42" s="1884" t="s">
        <v>44</v>
      </c>
      <c r="D42" s="1909" t="n"/>
      <c r="E42" s="1883" t="n"/>
      <c r="F42" s="1910" t="n"/>
      <c r="G42" s="1911" t="n"/>
      <c r="H42" s="1906" t="n"/>
      <c r="I42" s="1903" t="n"/>
      <c r="J42" s="1903" t="n"/>
      <c r="K42" s="1912" t="n"/>
      <c r="L42" s="1832" t="n"/>
      <c r="M42" s="1832" t="n"/>
      <c r="N42" s="1832" t="n"/>
      <c r="O42" s="1832" t="n"/>
    </row>
    <row customHeight="1" ht="12.75" r="43" s="1843" spans="1:24" thickTop="1">
      <c r="B43" s="1913" t="s">
        <v>45</v>
      </c>
      <c r="C43" s="1914" t="s">
        <v>43</v>
      </c>
      <c r="D43" s="1915" t="n"/>
      <c r="E43" s="1916" t="n"/>
      <c r="F43" s="1917" t="n"/>
      <c r="G43" s="1918" t="n"/>
      <c r="H43" s="1906" t="n"/>
      <c r="I43" s="1903" t="n"/>
      <c r="J43" s="1903" t="n"/>
      <c r="K43" s="1912" t="n"/>
      <c r="L43" s="1832" t="n"/>
      <c r="M43" s="1832" t="n"/>
      <c r="N43" s="1832" t="n"/>
      <c r="O43" s="1832" t="n"/>
    </row>
    <row r="44" spans="1:24">
      <c r="C44" s="1919" t="s">
        <v>46</v>
      </c>
      <c r="D44" s="1920" t="n">
        <v>16500</v>
      </c>
      <c r="E44" s="1832" t="n"/>
      <c r="F44" s="1921" t="n">
        <v>19000</v>
      </c>
      <c r="G44" s="1922" t="n">
        <v>17800</v>
      </c>
      <c r="H44" s="1906" t="n"/>
      <c r="I44" s="1903" t="n"/>
      <c r="J44" s="1903" t="n">
        <v>17500</v>
      </c>
      <c r="K44" s="1903">
        <f>J44*1.02</f>
        <v/>
      </c>
      <c r="L44" s="1832" t="n"/>
      <c r="M44" s="1832" t="n"/>
      <c r="N44" s="1832" t="n"/>
      <c r="O44" s="1832" t="n"/>
    </row>
    <row customHeight="1" ht="12.75" r="45" s="1843" spans="1:24" thickBot="1">
      <c r="C45" s="1884" t="s">
        <v>47</v>
      </c>
      <c r="D45" s="1909" t="n"/>
      <c r="E45" s="1883" t="n"/>
      <c r="F45" s="1910" t="n"/>
      <c r="G45" s="1911" t="n"/>
      <c r="H45" s="1906" t="n"/>
      <c r="I45" s="1903" t="n"/>
      <c r="J45" s="1903" t="n"/>
      <c r="K45" s="1912" t="n"/>
      <c r="L45" s="1832" t="n"/>
      <c r="M45" s="1832" t="n"/>
      <c r="N45" s="1832" t="n"/>
      <c r="O45" s="1832" t="n"/>
    </row>
    <row customHeight="1" ht="12.75" r="46" s="1843" spans="1:24" thickTop="1">
      <c r="B46" s="1907" t="s">
        <v>48</v>
      </c>
      <c r="C46" s="1914" t="s">
        <v>43</v>
      </c>
      <c r="D46" s="1908" t="n">
        <v>13000</v>
      </c>
      <c r="F46" s="1900" t="n">
        <v>15000</v>
      </c>
      <c r="G46" s="1905" t="n">
        <v>15000</v>
      </c>
      <c r="H46" s="1906" t="n">
        <v>14685</v>
      </c>
      <c r="I46" s="1903" t="n"/>
      <c r="J46" s="1923" t="n"/>
      <c r="K46" s="1923">
        <f>J46*1.02</f>
        <v/>
      </c>
    </row>
    <row customHeight="1" ht="12.75" r="47" s="1843" spans="1:24" thickBot="1">
      <c r="C47" s="1884" t="s">
        <v>46</v>
      </c>
      <c r="D47" s="1909" t="n">
        <v>13800</v>
      </c>
      <c r="F47" s="1910" t="n">
        <v>12000</v>
      </c>
      <c r="G47" s="1911" t="n">
        <v>13800</v>
      </c>
      <c r="H47" s="1906" t="n">
        <v>12080</v>
      </c>
      <c r="I47" s="1903" t="n"/>
      <c r="J47" s="1903" t="n">
        <v>13500</v>
      </c>
      <c r="K47" s="1903">
        <f>J47*1.02</f>
        <v/>
      </c>
    </row>
    <row customHeight="1" ht="12.75" r="48" s="1843" spans="1:24" thickTop="1">
      <c r="B48" s="1907" t="s">
        <v>49</v>
      </c>
      <c r="C48" s="1898" t="s">
        <v>43</v>
      </c>
      <c r="D48" s="1908" t="n">
        <v>12000</v>
      </c>
      <c r="E48" s="1832" t="n"/>
      <c r="F48" s="1900" t="n">
        <v>12000</v>
      </c>
      <c r="G48" s="1905" t="n">
        <v>13800</v>
      </c>
      <c r="H48" s="1906" t="n"/>
      <c r="I48" s="1903" t="n"/>
      <c r="J48" s="1903" t="n">
        <v>13500</v>
      </c>
      <c r="K48" s="1903">
        <f>J48*1.02</f>
        <v/>
      </c>
      <c r="L48" s="1832" t="n"/>
      <c r="M48" s="1832" t="n"/>
      <c r="N48" s="1832" t="n"/>
      <c r="O48" s="1832" t="n"/>
    </row>
    <row customHeight="1" ht="12.75" r="49" s="1843" spans="1:24" thickBot="1">
      <c r="C49" s="1898" t="s">
        <v>46</v>
      </c>
      <c r="D49" s="1909" t="n"/>
      <c r="E49" s="1883" t="n"/>
      <c r="F49" s="1910" t="n"/>
      <c r="G49" s="1911" t="n">
        <v>11800</v>
      </c>
      <c r="H49" s="1906" t="n"/>
      <c r="I49" s="1903" t="n"/>
      <c r="J49" s="1903" t="n">
        <v>11500</v>
      </c>
      <c r="K49" s="1903">
        <f>J49*1.02</f>
        <v/>
      </c>
      <c r="L49" s="1832" t="n"/>
      <c r="M49" s="1832" t="n"/>
      <c r="N49" s="1832" t="n"/>
      <c r="O49" s="1832" t="n"/>
    </row>
    <row customHeight="1" ht="13.5" r="50" s="1843" spans="1:24" thickBot="1" thickTop="1">
      <c r="C50" s="1884" t="s">
        <v>44</v>
      </c>
      <c r="D50" s="1909" t="n">
        <v>10500</v>
      </c>
      <c r="E50" s="1883" t="n"/>
      <c r="F50" s="1910" t="n">
        <v>10500</v>
      </c>
      <c r="G50" s="1911" t="n">
        <v>10800</v>
      </c>
      <c r="H50" s="1906" t="n"/>
      <c r="I50" s="1903" t="n"/>
      <c r="J50" s="1903" t="n">
        <v>10500</v>
      </c>
      <c r="K50" s="1903">
        <f>J50*1.02</f>
        <v/>
      </c>
      <c r="L50" s="1832" t="n"/>
      <c r="M50" s="1832" t="n"/>
      <c r="N50" s="1832" t="n"/>
      <c r="O50" s="1832" t="n"/>
    </row>
    <row customHeight="1" ht="12.75" r="51" s="1843" spans="1:24" thickTop="1">
      <c r="B51" s="1907" t="s">
        <v>50</v>
      </c>
      <c r="C51" s="1898" t="s">
        <v>43</v>
      </c>
      <c r="D51" s="1908" t="n"/>
      <c r="E51" s="1832" t="n"/>
      <c r="F51" s="1900" t="n"/>
      <c r="G51" s="1905" t="n">
        <v>18000</v>
      </c>
      <c r="H51" s="1906" t="n"/>
      <c r="I51" s="1903" t="n"/>
      <c r="J51" s="1923" t="n">
        <v>16500</v>
      </c>
      <c r="K51" s="1923">
        <f>J51*1.02</f>
        <v/>
      </c>
      <c r="L51" s="1832" t="n"/>
      <c r="M51" s="1832" t="n"/>
      <c r="N51" s="1832" t="n"/>
      <c r="O51" s="1832" t="n"/>
    </row>
    <row r="52" spans="1:24">
      <c r="C52" s="1898" t="s">
        <v>46</v>
      </c>
      <c r="D52" s="1908" t="n"/>
      <c r="E52" s="1832" t="n"/>
      <c r="F52" s="1900" t="n"/>
      <c r="G52" s="1905" t="n">
        <v>18000</v>
      </c>
      <c r="H52" s="1906" t="n"/>
      <c r="I52" s="1903" t="n"/>
      <c r="J52" s="1923" t="n">
        <v>22000</v>
      </c>
      <c r="K52" s="1923">
        <f>J52*1.02</f>
        <v/>
      </c>
      <c r="L52" s="1832" t="n"/>
      <c r="M52" s="1832" t="n"/>
      <c r="N52" s="1832" t="n"/>
      <c r="O52" s="1832" t="n"/>
    </row>
    <row customHeight="1" ht="12.75" r="53" s="1843" spans="1:24" thickBot="1">
      <c r="C53" s="1884" t="s">
        <v>44</v>
      </c>
      <c r="D53" s="1909" t="n"/>
      <c r="E53" s="1883" t="n"/>
      <c r="F53" s="1910" t="n"/>
      <c r="G53" s="1911" t="n"/>
      <c r="H53" s="1906" t="n"/>
      <c r="I53" s="1903" t="n"/>
      <c r="J53" s="1903" t="n"/>
      <c r="K53" s="1912" t="n"/>
      <c r="L53" s="1832" t="n"/>
      <c r="M53" s="1832" t="n"/>
      <c r="N53" s="1832" t="n"/>
      <c r="O53" s="1832" t="n"/>
    </row>
    <row customHeight="1" ht="12.75" r="54" s="1843" spans="1:24" thickTop="1">
      <c r="B54" s="1874" t="n"/>
      <c r="C54" s="1924" t="n"/>
      <c r="D54" s="1920" t="n"/>
      <c r="F54" s="1925" t="n"/>
      <c r="G54" s="1922" t="n"/>
      <c r="H54" s="1906" t="n"/>
      <c r="I54" s="1926" t="n"/>
      <c r="J54" s="1926" t="n"/>
      <c r="K54" s="1912" t="n"/>
    </row>
    <row r="55" spans="1:24">
      <c r="B55" s="1875" t="n"/>
      <c r="C55" s="1875" t="s">
        <v>51</v>
      </c>
      <c r="D55" s="1927" t="n">
        <v>4000</v>
      </c>
      <c r="F55" s="1928" t="n">
        <v>3000</v>
      </c>
      <c r="G55" s="1929" t="n">
        <v>3000</v>
      </c>
      <c r="H55" s="1930" t="n"/>
      <c r="I55" s="1926" t="n"/>
      <c r="J55" s="1926" t="n"/>
      <c r="K55" s="1912" t="n"/>
    </row>
    <row r="56" spans="1:24">
      <c r="B56" s="1833" t="s">
        <v>52</v>
      </c>
      <c r="C56" s="1833" t="s">
        <v>53</v>
      </c>
      <c r="F56" s="1931" t="n">
        <v>9000</v>
      </c>
      <c r="G56" s="1932" t="n">
        <v>9000</v>
      </c>
      <c r="H56" s="1933" t="n"/>
      <c r="I56" s="1903" t="n"/>
      <c r="J56" s="1903" t="n">
        <v>9000</v>
      </c>
      <c r="K56" s="1903" t="n">
        <v>9000</v>
      </c>
    </row>
    <row r="57" spans="1:24">
      <c r="B57" s="1833" t="s">
        <v>54</v>
      </c>
      <c r="C57" s="1833" t="s">
        <v>53</v>
      </c>
      <c r="G57" s="1934" t="n">
        <v>10000</v>
      </c>
      <c r="H57" s="1935" t="n"/>
      <c r="I57" s="1936" t="n"/>
      <c r="J57" s="1936" t="n">
        <v>10000</v>
      </c>
      <c r="K57" s="1936" t="n">
        <v>10000</v>
      </c>
    </row>
    <row r="65" spans="1:24">
      <c r="B65" s="1833" t="n"/>
      <c r="C65" s="1833" t="n"/>
      <c r="D65" s="1833" t="n"/>
    </row>
    <row customHeight="1" ht="14.25" r="76" s="1843" spans="1:24">
      <c r="B76" s="1850" t="s">
        <v>17</v>
      </c>
      <c r="C76" s="1937" t="n"/>
      <c r="D76" s="1937" t="n"/>
    </row>
    <row customHeight="1" ht="14.25" r="77" s="1843" spans="1:24">
      <c r="B77" s="1850" t="s">
        <v>20</v>
      </c>
      <c r="C77" s="1937" t="n"/>
      <c r="D77" s="1937" t="n"/>
    </row>
  </sheetData>
  <mergeCells count="15">
    <mergeCell ref="B46:B47"/>
    <mergeCell ref="B48:B50"/>
    <mergeCell ref="B51:B53"/>
    <mergeCell ref="B24:C24"/>
    <mergeCell ref="B25:B29"/>
    <mergeCell ref="B31:B36"/>
    <mergeCell ref="B39:B40"/>
    <mergeCell ref="B41:B42"/>
    <mergeCell ref="B43:B45"/>
    <mergeCell ref="V3:X3"/>
    <mergeCell ref="B3:D3"/>
    <mergeCell ref="F3:H3"/>
    <mergeCell ref="J3:L3"/>
    <mergeCell ref="N3:P3"/>
    <mergeCell ref="R3:T3"/>
  </mergeCells>
  <pageMargins bottom="0.75" footer="0.3" header="0.3" left="0.7" right="0.7" top="0.75"/>
  <pageSetup orientation="portrait" paperSize="9"/>
  <legacyDrawing r:id="anysvml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M71"/>
  <sheetViews>
    <sheetView tabSelected="1" topLeftCell="U1" workbookViewId="0" zoomScaleNormal="100" zoomScaleSheetLayoutView="130">
      <selection activeCell="Y11" sqref="Y11"/>
    </sheetView>
  </sheetViews>
  <sheetFormatPr baseColWidth="8" defaultColWidth="8.875" defaultRowHeight="13.5" outlineLevelCol="0"/>
  <cols>
    <col customWidth="1" max="1" min="1" style="2799" width="8.875"/>
    <col customWidth="1" max="2" min="2" style="2799" width="30.25"/>
    <col customWidth="1" max="3" min="3" style="2799" width="10.625"/>
    <col customWidth="1" max="4" min="4" style="2799" width="8.875"/>
    <col customWidth="1" max="15" min="5" style="2799" width="8.875"/>
    <col customWidth="1" max="16" min="16" style="2799" width="2.25"/>
    <col customWidth="1" max="17" min="17" style="2799" width="1.125"/>
    <col customWidth="1" max="18" min="18" style="2799" width="2"/>
    <col customWidth="1" max="19" min="19" style="2799" width="8.875"/>
    <col customWidth="1" max="20" min="20" style="2799" width="23.875"/>
    <col customWidth="1" max="21" min="21" style="2799" width="11.625"/>
    <col customWidth="1" max="32" min="22" style="2799" width="8.875"/>
    <col customWidth="1" max="33" min="33" style="2799" width="8.875"/>
    <col bestFit="1" customWidth="1" max="34" min="34" style="2799" width="9.5"/>
    <col customWidth="1" max="36" min="35" style="2799" width="8.875"/>
    <col customWidth="1" max="37" min="37" style="2799" width="16.625"/>
    <col customWidth="1" max="38" min="38" style="2799" width="8.875"/>
    <col bestFit="1" customWidth="1" max="39" min="39" style="2799" width="10.5"/>
    <col customWidth="1" max="16384" min="40" style="2799" width="8.875"/>
  </cols>
  <sheetData>
    <row customHeight="1" ht="36.75" r="1" s="1843" spans="1:39" thickBot="1">
      <c r="A1" s="2976" t="s">
        <v>175</v>
      </c>
      <c r="B1" s="2976" t="s">
        <v>397</v>
      </c>
      <c r="C1" s="2976" t="s">
        <v>62</v>
      </c>
      <c r="D1" s="2976" t="s">
        <v>63</v>
      </c>
      <c r="E1" s="2976" t="s">
        <v>64</v>
      </c>
      <c r="F1" s="2976" t="s">
        <v>174</v>
      </c>
      <c r="G1" s="2976" t="s">
        <v>66</v>
      </c>
      <c r="H1" s="2976" t="s">
        <v>67</v>
      </c>
      <c r="I1" s="2976" t="s">
        <v>69</v>
      </c>
      <c r="J1" s="2976" t="s">
        <v>70</v>
      </c>
      <c r="K1" s="2976" t="s">
        <v>71</v>
      </c>
      <c r="L1" s="2976" t="s">
        <v>72</v>
      </c>
      <c r="M1" s="2976" t="s">
        <v>73</v>
      </c>
      <c r="N1" s="2976" t="s">
        <v>74</v>
      </c>
      <c r="O1" s="2976" t="s">
        <v>55</v>
      </c>
      <c r="S1" s="2976" t="n"/>
      <c r="T1" s="2976" t="s">
        <v>398</v>
      </c>
      <c r="U1" s="2976" t="s">
        <v>62</v>
      </c>
      <c r="V1" s="2976" t="s">
        <v>63</v>
      </c>
      <c r="W1" s="2976" t="s">
        <v>64</v>
      </c>
      <c r="X1" s="2976" t="s">
        <v>174</v>
      </c>
      <c r="Y1" s="2976" t="s">
        <v>66</v>
      </c>
      <c r="Z1" s="2976" t="s">
        <v>67</v>
      </c>
      <c r="AA1" s="2976" t="s">
        <v>69</v>
      </c>
      <c r="AB1" s="2976" t="s">
        <v>70</v>
      </c>
      <c r="AC1" s="2976" t="s">
        <v>71</v>
      </c>
      <c r="AD1" s="2976" t="s">
        <v>72</v>
      </c>
      <c r="AE1" s="2976" t="s">
        <v>73</v>
      </c>
      <c r="AF1" s="2976" t="s">
        <v>74</v>
      </c>
      <c r="AG1" s="2976" t="s">
        <v>55</v>
      </c>
      <c r="AJ1" s="2977" t="s">
        <v>399</v>
      </c>
      <c r="AK1" s="2978" t="s">
        <v>400</v>
      </c>
    </row>
    <row customHeight="1" ht="15" r="2" s="1843" spans="1:39">
      <c r="A2" s="1818" t="s">
        <v>54</v>
      </c>
      <c r="B2" s="2979" t="s">
        <v>53</v>
      </c>
      <c r="C2" s="2980">
        <f>VLOOKUP($B2,$T$2:U10,2,FALSE)</f>
        <v/>
      </c>
      <c r="D2" s="2980">
        <f>VLOOKUP($B2,$T$2:V11,3,FALSE)</f>
        <v/>
      </c>
      <c r="E2" s="2980">
        <f>VLOOKUP($B2,$T$2:W11,4,FALSE)</f>
        <v/>
      </c>
      <c r="F2" s="2980">
        <f>VLOOKUP($B2,$T$2:X11,5,FALSE)</f>
        <v/>
      </c>
      <c r="G2" s="2980">
        <f>VLOOKUP($B2,$T$2:Y11,6,FALSE)</f>
        <v/>
      </c>
      <c r="H2" s="2980">
        <f>VLOOKUP($B2,$T$2:Z11,7,FALSE)</f>
        <v/>
      </c>
      <c r="I2" s="2980">
        <f>VLOOKUP($B2,$T$2:AA11,8,FALSE)</f>
        <v/>
      </c>
      <c r="J2" s="2980">
        <f>VLOOKUP($B2,$T$2:AB11,9,FALSE)</f>
        <v/>
      </c>
      <c r="K2" s="2980">
        <f>VLOOKUP($B2,$T$2:AC11,10,FALSE)</f>
        <v/>
      </c>
      <c r="L2" s="2980">
        <f>VLOOKUP($B2,$T$2:AD11,11,FALSE)</f>
        <v/>
      </c>
      <c r="M2" s="2980">
        <f>VLOOKUP($B2,$T$2:AE11,12,FALSE)</f>
        <v/>
      </c>
      <c r="N2" s="2980">
        <f>VLOOKUP($B2,$T$2:AF11,13,FALSE)</f>
        <v/>
      </c>
      <c r="O2" s="2981">
        <f>SUM(C2:N2)</f>
        <v/>
      </c>
      <c r="S2" s="1482" t="n"/>
      <c r="T2" s="2982" t="s">
        <v>53</v>
      </c>
      <c r="U2" s="2983" t="n">
        <v>21.54212</v>
      </c>
      <c r="V2" s="2984" t="n">
        <v>21.54181</v>
      </c>
      <c r="W2" s="2984" t="n">
        <v>21.60932</v>
      </c>
      <c r="X2" s="2984" t="n">
        <v>37.21411</v>
      </c>
      <c r="Y2" s="2985" t="n">
        <v>21.85</v>
      </c>
      <c r="Z2" s="2985">
        <f>'FY18 SET'!L134</f>
        <v/>
      </c>
      <c r="AA2" s="2985">
        <f>'FY18 SET'!N134</f>
        <v/>
      </c>
      <c r="AB2" s="2985">
        <f>'FY18 SET'!O134</f>
        <v/>
      </c>
      <c r="AC2" s="2985">
        <f>'FY18 SET'!P134</f>
        <v/>
      </c>
      <c r="AD2" s="2985">
        <f>'FY18 SET'!Q134</f>
        <v/>
      </c>
      <c r="AE2" s="2985">
        <f>'FY18 SET'!R134</f>
        <v/>
      </c>
      <c r="AF2" s="2985">
        <f>'FY18 SET'!S134</f>
        <v/>
      </c>
      <c r="AG2" s="2986">
        <f>SUM(U2:AF2)</f>
        <v/>
      </c>
    </row>
    <row customHeight="1" ht="17.45" r="3" s="1843" spans="1:39">
      <c r="B3" s="2987" t="s">
        <v>401</v>
      </c>
      <c r="C3" s="2981">
        <f>SUM(C2)</f>
        <v/>
      </c>
      <c r="D3" s="2981">
        <f>SUM(D2)</f>
        <v/>
      </c>
      <c r="E3" s="2981">
        <f>SUM(E2)</f>
        <v/>
      </c>
      <c r="F3" s="2981">
        <f>SUM(F2)</f>
        <v/>
      </c>
      <c r="G3" s="2981">
        <f>SUM(G2)</f>
        <v/>
      </c>
      <c r="H3" s="2981">
        <f>SUM(H2)</f>
        <v/>
      </c>
      <c r="I3" s="2981">
        <f>SUM(I2)</f>
        <v/>
      </c>
      <c r="J3" s="2981">
        <f>SUM(J2)</f>
        <v/>
      </c>
      <c r="K3" s="2981">
        <f>SUM(K2)</f>
        <v/>
      </c>
      <c r="L3" s="2981">
        <f>SUM(L2)</f>
        <v/>
      </c>
      <c r="M3" s="2981">
        <f>SUM(M2)</f>
        <v/>
      </c>
      <c r="N3" s="2981">
        <f>SUM(N2)</f>
        <v/>
      </c>
      <c r="O3" s="2981">
        <f>SUM(C3:N3)</f>
        <v/>
      </c>
      <c r="S3" s="1476" t="n"/>
      <c r="T3" s="2982" t="s">
        <v>81</v>
      </c>
      <c r="U3" s="2988" t="n">
        <v>81.15900000000001</v>
      </c>
      <c r="V3" s="2989" t="n">
        <v>85.599</v>
      </c>
      <c r="W3" s="2989" t="n">
        <v>47.188</v>
      </c>
      <c r="X3" s="2984" t="n">
        <v>79.5</v>
      </c>
      <c r="Y3" s="2990" t="n"/>
      <c r="Z3" s="2990">
        <f>'FY18 SET'!$D$138*'FY18 SET'!L6/1000+3</f>
        <v/>
      </c>
      <c r="AA3" s="2990">
        <f>'FY18 SET'!$D$138*'FY18 SET'!N6/1000+3</f>
        <v/>
      </c>
      <c r="AB3" s="2990">
        <f>'FY18 SET'!$D$138*'FY18 SET'!O6/1000+3</f>
        <v/>
      </c>
      <c r="AC3" s="2990">
        <f>'FY18 SET'!$D$138*'FY18 SET'!P6/1000+3</f>
        <v/>
      </c>
      <c r="AD3" s="2990">
        <f>'FY18 SET'!$D$138*'FY18 SET'!Q6/1000+3</f>
        <v/>
      </c>
      <c r="AE3" s="2990">
        <f>'FY18 SET'!$D$138*'FY18 SET'!R6/1000+3</f>
        <v/>
      </c>
      <c r="AF3" s="2990">
        <f>'FY18 SET'!$D$138*'FY18 SET'!S6/1000+3</f>
        <v/>
      </c>
      <c r="AG3" s="2986">
        <f>SUM(U3:AF3)</f>
        <v/>
      </c>
      <c r="AH3" s="2991" t="n"/>
    </row>
    <row customHeight="1" ht="15.75" r="4" s="1843" spans="1:39" thickBot="1">
      <c r="B4" s="2992">
        <f>'FY18 SET'!B19</f>
        <v/>
      </c>
      <c r="C4" s="2993">
        <f>VLOOKUP($B4,$T$2:U18,2,FALSE)</f>
        <v/>
      </c>
      <c r="D4" s="2993">
        <f>VLOOKUP($B4,$T$2:V18,3,FALSE)</f>
        <v/>
      </c>
      <c r="E4" s="2993">
        <f>VLOOKUP($B4,$T$2:W18,4,FALSE)</f>
        <v/>
      </c>
      <c r="F4" s="2993">
        <f>VLOOKUP($B4,$T$2:X18,5,FALSE)</f>
        <v/>
      </c>
      <c r="G4" s="2993">
        <f>VLOOKUP($B4,$T$2:Y18,6,FALSE)</f>
        <v/>
      </c>
      <c r="H4" s="2993">
        <f>VLOOKUP($B4,$T$2:Z18,7,FALSE)</f>
        <v/>
      </c>
      <c r="I4" s="2993">
        <f>VLOOKUP($B4,$T$2:AA18,8,FALSE)</f>
        <v/>
      </c>
      <c r="J4" s="2993">
        <f>VLOOKUP($B4,$T$2:AB18,9,FALSE)</f>
        <v/>
      </c>
      <c r="K4" s="2993">
        <f>VLOOKUP($B4,$T$2:AC18,10,FALSE)</f>
        <v/>
      </c>
      <c r="L4" s="2993">
        <f>VLOOKUP($B4,$T$2:AD18,11,FALSE)</f>
        <v/>
      </c>
      <c r="M4" s="2993">
        <f>VLOOKUP($B4,$T$2:AE18,12,FALSE)</f>
        <v/>
      </c>
      <c r="N4" s="2993">
        <f>VLOOKUP($B4,$T$2:AF18,13,FALSE)</f>
        <v/>
      </c>
      <c r="O4" s="2994">
        <f>SUM(C4:N4)</f>
        <v/>
      </c>
      <c r="S4" s="1476" t="n"/>
      <c r="T4" s="2982" t="s">
        <v>90</v>
      </c>
      <c r="U4" s="2988" t="n">
        <v>95.90000000000001</v>
      </c>
      <c r="V4" s="2984" t="n">
        <v>84.809</v>
      </c>
      <c r="W4" s="2984" t="n">
        <v>120.067</v>
      </c>
      <c r="X4" s="2984" t="n">
        <v>170.086</v>
      </c>
      <c r="Y4" s="2985" t="n"/>
      <c r="Z4" s="2985">
        <f>'FY18 SET'!$D$138*'FY18 SET'!L10/1000+3</f>
        <v/>
      </c>
      <c r="AA4" s="2985">
        <f>'FY18 SET'!$D$138*'FY18 SET'!N10/1000+3</f>
        <v/>
      </c>
      <c r="AB4" s="2985">
        <f>'FY18 SET'!$D$138*'FY18 SET'!O10/1000+3</f>
        <v/>
      </c>
      <c r="AC4" s="2985">
        <f>'FY18 SET'!$D$138*'FY18 SET'!P10/1000+3</f>
        <v/>
      </c>
      <c r="AD4" s="2985">
        <f>'FY18 SET'!$D$138*'FY18 SET'!Q10/1000+3</f>
        <v/>
      </c>
      <c r="AE4" s="2985">
        <f>'FY18 SET'!$D$138*'FY18 SET'!R10/1000+3</f>
        <v/>
      </c>
      <c r="AF4" s="2985">
        <f>'FY18 SET'!$D$138*'FY18 SET'!S10/1000+3</f>
        <v/>
      </c>
      <c r="AG4" s="2986">
        <f>SUM(U4:AF4)</f>
        <v/>
      </c>
      <c r="AJ4" s="2995" t="s">
        <v>402</v>
      </c>
      <c r="AK4" s="2996" t="n">
        <v>178894</v>
      </c>
      <c r="AL4" s="2996" t="n"/>
    </row>
    <row customHeight="1" ht="15.75" r="5" s="1843" spans="1:39" thickBot="1">
      <c r="B5" s="2997">
        <f>'FY18 SET'!B23</f>
        <v/>
      </c>
      <c r="C5" s="2993">
        <f>VLOOKUP($B5,$T$2:U18,2,FALSE)</f>
        <v/>
      </c>
      <c r="D5" s="2993">
        <f>VLOOKUP($B5,$T$2:V23,3,FALSE)</f>
        <v/>
      </c>
      <c r="E5" s="2993">
        <f>VLOOKUP($B5,$T$2:W23,4,FALSE)</f>
        <v/>
      </c>
      <c r="F5" s="2993">
        <f>VLOOKUP($B5,$T$2:X23,5,FALSE)</f>
        <v/>
      </c>
      <c r="G5" s="2993">
        <f>VLOOKUP($B5,$T$2:Y23,6,FALSE)</f>
        <v/>
      </c>
      <c r="H5" s="2993">
        <f>VLOOKUP($B5,$T$2:Z23,7,FALSE)</f>
        <v/>
      </c>
      <c r="I5" s="2993">
        <f>VLOOKUP($B5,$T$2:AA23,8,FALSE)</f>
        <v/>
      </c>
      <c r="J5" s="2993">
        <f>VLOOKUP($B5,$T$2:AB23,9,FALSE)</f>
        <v/>
      </c>
      <c r="K5" s="2993">
        <f>VLOOKUP($B5,$T$2:AC23,10,FALSE)</f>
        <v/>
      </c>
      <c r="L5" s="2993">
        <f>VLOOKUP($B5,$T$2:AD23,11,FALSE)</f>
        <v/>
      </c>
      <c r="M5" s="2993">
        <f>VLOOKUP($B5,$T$2:AE23,12,FALSE)</f>
        <v/>
      </c>
      <c r="N5" s="2993">
        <f>VLOOKUP($B5,$T$2:AF23,13,FALSE)</f>
        <v/>
      </c>
      <c r="O5" s="2994">
        <f>SUM(C5:N5)</f>
        <v/>
      </c>
      <c r="S5" s="1476" t="n"/>
      <c r="T5" s="2982" t="s">
        <v>92</v>
      </c>
      <c r="U5" s="2998" t="n">
        <v>482.112</v>
      </c>
      <c r="V5" s="2998" t="n">
        <v>450.6582</v>
      </c>
      <c r="W5" s="2998" t="n">
        <v>405.2476</v>
      </c>
      <c r="X5" s="2998" t="n">
        <v>400.0202</v>
      </c>
      <c r="Y5" s="2999" t="n"/>
      <c r="Z5" s="2999">
        <f>'FY18 SET'!L139</f>
        <v/>
      </c>
      <c r="AA5" s="2999">
        <f>'FY18 SET'!N139</f>
        <v/>
      </c>
      <c r="AB5" s="2999">
        <f>'FY18 SET'!O139</f>
        <v/>
      </c>
      <c r="AC5" s="2999">
        <f>'FY18 SET'!P139</f>
        <v/>
      </c>
      <c r="AD5" s="2999">
        <f>'FY18 SET'!Q139</f>
        <v/>
      </c>
      <c r="AE5" s="2999">
        <f>'FY18 SET'!R139</f>
        <v/>
      </c>
      <c r="AF5" s="2999">
        <f>'FY18 SET'!S139</f>
        <v/>
      </c>
      <c r="AG5" s="2986">
        <f>SUM(U5:AF5)</f>
        <v/>
      </c>
      <c r="AJ5" s="2995" t="s">
        <v>403</v>
      </c>
      <c r="AK5" s="2996" t="n">
        <v>138098</v>
      </c>
      <c r="AL5" s="2996" t="n"/>
    </row>
    <row customHeight="1" ht="15.75" r="6" s="1843" spans="1:39" thickBot="1">
      <c r="B6" s="2992">
        <f>'FY18 SET'!B27</f>
        <v/>
      </c>
      <c r="C6" s="2993">
        <f>VLOOKUP($B6,$T$2:U23,2,FALSE)</f>
        <v/>
      </c>
      <c r="D6" s="2993">
        <f>VLOOKUP($B6,$T$2:V23,3,FALSE)</f>
        <v/>
      </c>
      <c r="E6" s="2993">
        <f>VLOOKUP($B6,$T$2:W23,4,FALSE)</f>
        <v/>
      </c>
      <c r="F6" s="2993">
        <f>VLOOKUP($B6,$T$2:X23,5,FALSE)</f>
        <v/>
      </c>
      <c r="G6" s="2993">
        <f>VLOOKUP($B6,$T$2:Y23,6,FALSE)</f>
        <v/>
      </c>
      <c r="H6" s="2993">
        <f>VLOOKUP($B6,$T$2:Z23,7,FALSE)</f>
        <v/>
      </c>
      <c r="I6" s="2993">
        <f>VLOOKUP($B6,$T$2:AA23,8,FALSE)</f>
        <v/>
      </c>
      <c r="J6" s="2993">
        <f>VLOOKUP($B6,$T$2:AB23,9,FALSE)</f>
        <v/>
      </c>
      <c r="K6" s="2993">
        <f>VLOOKUP($B6,$T$2:AC23,10,FALSE)</f>
        <v/>
      </c>
      <c r="L6" s="2993">
        <f>VLOOKUP($B6,$T$2:AD23,11,FALSE)</f>
        <v/>
      </c>
      <c r="M6" s="2993">
        <f>VLOOKUP($B6,$T$2:AE23,12,FALSE)</f>
        <v/>
      </c>
      <c r="N6" s="2993">
        <f>VLOOKUP($B6,$T$2:AF23,13,FALSE)</f>
        <v/>
      </c>
      <c r="O6" s="2994">
        <f>SUM(C6:N6)</f>
        <v/>
      </c>
      <c r="S6" s="1476" t="n"/>
      <c r="T6" s="2982" t="s">
        <v>117</v>
      </c>
      <c r="U6" s="2988" t="n">
        <v>31.451</v>
      </c>
      <c r="V6" s="2984" t="n">
        <v>33.815</v>
      </c>
      <c r="W6" s="2984" t="n">
        <v>33.815</v>
      </c>
      <c r="X6" s="2984" t="n">
        <v>33.815</v>
      </c>
      <c r="Y6" s="2985" t="n"/>
      <c r="Z6" s="2985">
        <f>'FY18 SET'!$D$137*'FY18 SET'!L46/1000</f>
        <v/>
      </c>
      <c r="AA6" s="2985">
        <f>'FY18 SET'!$D$137*'FY18 SET'!N46/1000</f>
        <v/>
      </c>
      <c r="AB6" s="2985">
        <f>'FY18 SET'!$D$137*'FY18 SET'!O46/1000</f>
        <v/>
      </c>
      <c r="AC6" s="2985">
        <f>'FY18 SET'!$D$137*'FY18 SET'!P46/1000</f>
        <v/>
      </c>
      <c r="AD6" s="2985">
        <f>'FY18 SET'!$D$137*'FY18 SET'!Q46/1000</f>
        <v/>
      </c>
      <c r="AE6" s="2985">
        <f>'FY18 SET'!$D$137*'FY18 SET'!R46/1000</f>
        <v/>
      </c>
      <c r="AF6" s="2985">
        <f>'FY18 SET'!$D$137*'FY18 SET'!S46/1000</f>
        <v/>
      </c>
      <c r="AG6" s="2986">
        <f>SUM(U6:AF6)</f>
        <v/>
      </c>
      <c r="AJ6" s="2995" t="s">
        <v>404</v>
      </c>
      <c r="AK6" s="2996" t="n">
        <v>115672</v>
      </c>
      <c r="AL6" s="2996" t="n"/>
    </row>
    <row customHeight="1" ht="15.75" r="7" s="1843" spans="1:39" thickBot="1">
      <c r="B7" s="2997">
        <f>'FY18 SET'!B39</f>
        <v/>
      </c>
      <c r="C7" s="2993" t="n"/>
      <c r="D7" s="2993" t="n"/>
      <c r="E7" s="2993" t="n"/>
      <c r="F7" s="2993" t="n"/>
      <c r="G7" s="2993" t="n"/>
      <c r="H7" s="2993" t="n"/>
      <c r="I7" s="2993" t="n"/>
      <c r="J7" s="2993" t="n"/>
      <c r="K7" s="2993" t="n"/>
      <c r="L7" s="2993" t="n"/>
      <c r="M7" s="2993" t="n"/>
      <c r="N7" s="2993" t="n"/>
      <c r="O7" s="2994">
        <f>SUM(C7:N7)</f>
        <v/>
      </c>
      <c r="S7" s="1476" t="n"/>
      <c r="T7" s="2982" t="s">
        <v>128</v>
      </c>
      <c r="U7" s="2988" t="n">
        <v>80.358</v>
      </c>
      <c r="V7" s="2984" t="n">
        <v>68.2</v>
      </c>
      <c r="W7" s="2984" t="n">
        <v>68.2538</v>
      </c>
      <c r="X7" s="2984" t="n">
        <v>68.2</v>
      </c>
      <c r="Y7" s="2985" t="n"/>
      <c r="Z7" s="2985">
        <f>18500*'FY18 SET'!L58/1000</f>
        <v/>
      </c>
      <c r="AA7" s="2985">
        <f>18500*'FY18 SET'!N58/1000</f>
        <v/>
      </c>
      <c r="AB7" s="2985">
        <f>18500*'FY18 SET'!O58/1000</f>
        <v/>
      </c>
      <c r="AC7" s="2985">
        <f>18500*'FY18 SET'!P58/1000</f>
        <v/>
      </c>
      <c r="AD7" s="2985">
        <f>18500*'FY18 SET'!Q58/1000</f>
        <v/>
      </c>
      <c r="AE7" s="2985">
        <f>18500*'FY18 SET'!R58/1000</f>
        <v/>
      </c>
      <c r="AF7" s="2985">
        <f>18500*'FY18 SET'!S58/1000</f>
        <v/>
      </c>
      <c r="AG7" s="2986">
        <f>SUM(U7:AF7)</f>
        <v/>
      </c>
      <c r="AJ7" s="2995" t="s">
        <v>405</v>
      </c>
      <c r="AK7" s="2996" t="n">
        <v>85665</v>
      </c>
      <c r="AL7" s="2996" t="n"/>
    </row>
    <row customHeight="1" ht="15.75" r="8" s="1843" spans="1:39" thickBot="1">
      <c r="B8" s="3000" t="s">
        <v>406</v>
      </c>
      <c r="C8" s="3001">
        <f>SUM(C4:C7)</f>
        <v/>
      </c>
      <c r="D8" s="3001">
        <f>SUM(D4:D7)</f>
        <v/>
      </c>
      <c r="E8" s="3001">
        <f>SUM(E4:E7)</f>
        <v/>
      </c>
      <c r="F8" s="3001">
        <f>SUM(F4:F7)</f>
        <v/>
      </c>
      <c r="G8" s="3001">
        <f>SUM(G4:G7)</f>
        <v/>
      </c>
      <c r="H8" s="3001">
        <f>SUM(H4:H7)</f>
        <v/>
      </c>
      <c r="I8" s="3001">
        <f>SUM(I4:I7)</f>
        <v/>
      </c>
      <c r="J8" s="3001">
        <f>SUM(J4:J7)</f>
        <v/>
      </c>
      <c r="K8" s="3001">
        <f>SUM(K4:K7)</f>
        <v/>
      </c>
      <c r="L8" s="3001">
        <f>SUM(L4:L7)</f>
        <v/>
      </c>
      <c r="M8" s="3001">
        <f>SUM(M4:M7)</f>
        <v/>
      </c>
      <c r="N8" s="3001">
        <f>SUM(N4:N7)</f>
        <v/>
      </c>
      <c r="O8" s="2981">
        <f>SUM(C8:N8)</f>
        <v/>
      </c>
      <c r="S8" s="1476" t="n"/>
      <c r="T8" s="2982" t="s">
        <v>114</v>
      </c>
      <c r="U8" s="2988" t="n">
        <v>25.842</v>
      </c>
      <c r="V8" s="2984" t="n">
        <v>48.656</v>
      </c>
      <c r="W8" s="2984" t="n">
        <v>101.395</v>
      </c>
      <c r="X8" s="2984" t="n">
        <v>91.818</v>
      </c>
      <c r="Y8" s="2985" t="n"/>
      <c r="Z8" s="2985">
        <f>13000*'FY18 SET'!L42/1000</f>
        <v/>
      </c>
      <c r="AA8" s="2985">
        <f>13000*'FY18 SET'!N42/1000</f>
        <v/>
      </c>
      <c r="AB8" s="2985">
        <f>13000*'FY18 SET'!O42/1000</f>
        <v/>
      </c>
      <c r="AC8" s="2985">
        <f>13000*'FY18 SET'!P42/1000</f>
        <v/>
      </c>
      <c r="AD8" s="2985">
        <f>13000*'FY18 SET'!Q42/1000</f>
        <v/>
      </c>
      <c r="AE8" s="2985">
        <f>13000*'FY18 SET'!R42/1000</f>
        <v/>
      </c>
      <c r="AF8" s="2985">
        <f>13000*'FY18 SET'!S42/1000</f>
        <v/>
      </c>
      <c r="AG8" s="2986">
        <f>SUM(U8:AF8)</f>
        <v/>
      </c>
      <c r="AJ8" s="2995" t="s">
        <v>407</v>
      </c>
      <c r="AK8" s="2996" t="n">
        <v>53614</v>
      </c>
      <c r="AL8" s="3002">
        <f>AK8/$AK$12</f>
        <v/>
      </c>
      <c r="AM8" s="2991" t="n"/>
    </row>
    <row customHeight="1" ht="15.75" r="9" s="1843" spans="1:39" thickBot="1">
      <c r="B9" s="2997">
        <f>'FY18 SET'!B35</f>
        <v/>
      </c>
      <c r="C9" s="2993">
        <f>VLOOKUP($B9,$T$2:U23,2,FALSE)</f>
        <v/>
      </c>
      <c r="D9" s="2993">
        <f>VLOOKUP($B9,$T$2:V23,3,FALSE)</f>
        <v/>
      </c>
      <c r="E9" s="2993">
        <f>VLOOKUP($B9,$T$2:W23,4,FALSE)</f>
        <v/>
      </c>
      <c r="F9" s="2993">
        <f>VLOOKUP($B9,$T$2:X23,5,FALSE)</f>
        <v/>
      </c>
      <c r="G9" s="2993">
        <f>VLOOKUP($B9,$T$2:Y23,6,FALSE)</f>
        <v/>
      </c>
      <c r="H9" s="2993">
        <f>VLOOKUP($B9,$T$2:Z23,7,FALSE)</f>
        <v/>
      </c>
      <c r="I9" s="2993">
        <f>VLOOKUP($B9,$T$2:AA23,8,FALSE)</f>
        <v/>
      </c>
      <c r="J9" s="2993">
        <f>VLOOKUP($B9,$T$2:AB23,9,FALSE)</f>
        <v/>
      </c>
      <c r="K9" s="2993">
        <f>VLOOKUP($B9,$T$2:AC23,10,FALSE)</f>
        <v/>
      </c>
      <c r="L9" s="2993">
        <f>VLOOKUP($B9,$T$2:AD23,11,FALSE)</f>
        <v/>
      </c>
      <c r="M9" s="2993">
        <f>VLOOKUP($B9,$T$2:AE23,12,FALSE)</f>
        <v/>
      </c>
      <c r="N9" s="2993">
        <f>VLOOKUP($B9,$T$2:AF23,13,FALSE)</f>
        <v/>
      </c>
      <c r="O9" s="2994">
        <f>SUM(C9:N9)</f>
        <v/>
      </c>
      <c r="S9" s="1476" t="n"/>
      <c r="T9" s="2982" t="s">
        <v>98</v>
      </c>
      <c r="U9" s="2988" t="n">
        <v>93.72199999999999</v>
      </c>
      <c r="V9" s="2989" t="n">
        <v>95.661</v>
      </c>
      <c r="W9" s="2989" t="n">
        <v>97.59999999999999</v>
      </c>
      <c r="X9" s="2989" t="n">
        <v>97.59999999999999</v>
      </c>
      <c r="Y9" s="2990" t="n"/>
      <c r="Z9" s="2990">
        <f>'FY18 SET'!$D$135*'FY18 SET'!L22/1000+6</f>
        <v/>
      </c>
      <c r="AA9" s="2990">
        <f>'FY18 SET'!$D$135*'FY18 SET'!N22/1000+6</f>
        <v/>
      </c>
      <c r="AB9" s="2990">
        <f>'FY18 SET'!$D$135*'FY18 SET'!O22/1000+6</f>
        <v/>
      </c>
      <c r="AC9" s="2990">
        <f>'FY18 SET'!$D$135*'FY18 SET'!P22/1000+6</f>
        <v/>
      </c>
      <c r="AD9" s="2990">
        <f>'FY18 SET'!$D$135*'FY18 SET'!Q22/1000+6</f>
        <v/>
      </c>
      <c r="AE9" s="2990">
        <f>'FY18 SET'!$D$135*'FY18 SET'!R22/1000+6</f>
        <v/>
      </c>
      <c r="AF9" s="2990">
        <f>'FY18 SET'!$D$135*'FY18 SET'!S22/1000+6</f>
        <v/>
      </c>
      <c r="AG9" s="2986">
        <f>SUM(U9:AF9)</f>
        <v/>
      </c>
      <c r="AJ9" s="2995" t="s">
        <v>408</v>
      </c>
      <c r="AK9" s="2996" t="n">
        <v>43151</v>
      </c>
      <c r="AL9" s="3002">
        <f>AK9/$AK$12</f>
        <v/>
      </c>
    </row>
    <row customHeight="1" ht="15.75" r="10" s="1843" spans="1:39" thickBot="1">
      <c r="B10" s="2992">
        <f>'FY18 SET'!B43</f>
        <v/>
      </c>
      <c r="C10" s="2993">
        <f>VLOOKUP($B10,$T$2:U23,2,FALSE)</f>
        <v/>
      </c>
      <c r="D10" s="2993">
        <f>VLOOKUP($B10,$T$2:V23,3,FALSE)</f>
        <v/>
      </c>
      <c r="E10" s="2993">
        <f>VLOOKUP($B10,$T$2:W23,4,FALSE)</f>
        <v/>
      </c>
      <c r="F10" s="2993">
        <f>VLOOKUP($B10,$T$2:X23,5,FALSE)</f>
        <v/>
      </c>
      <c r="G10" s="2993">
        <f>VLOOKUP($B10,$T$2:Y23,6,FALSE)</f>
        <v/>
      </c>
      <c r="H10" s="2993">
        <f>VLOOKUP($B10,$T$2:Z23,7,FALSE)</f>
        <v/>
      </c>
      <c r="I10" s="2993">
        <f>VLOOKUP($B10,$T$2:AA23,8,FALSE)</f>
        <v/>
      </c>
      <c r="J10" s="2993">
        <f>VLOOKUP($B10,$T$2:AB23,9,FALSE)</f>
        <v/>
      </c>
      <c r="K10" s="2993">
        <f>VLOOKUP($B10,$T$2:AC23,10,FALSE)</f>
        <v/>
      </c>
      <c r="L10" s="2993">
        <f>VLOOKUP($B10,$T$2:AD23,11,FALSE)</f>
        <v/>
      </c>
      <c r="M10" s="2993">
        <f>VLOOKUP($B10,$T$2:AE23,12,FALSE)</f>
        <v/>
      </c>
      <c r="N10" s="2993">
        <f>VLOOKUP($B10,$T$2:AF23,13,FALSE)</f>
        <v/>
      </c>
      <c r="O10" s="2994">
        <f>SUM(C10:N10)</f>
        <v/>
      </c>
      <c r="S10" s="1476" t="n"/>
      <c r="T10" s="2982" t="s">
        <v>95</v>
      </c>
      <c r="U10" s="2988" t="n">
        <v>13</v>
      </c>
      <c r="V10" s="2984" t="n">
        <v>13</v>
      </c>
      <c r="W10" s="2984" t="n">
        <v>13</v>
      </c>
      <c r="X10" s="2984" t="n">
        <v>13</v>
      </c>
      <c r="Y10" s="2985" t="n"/>
      <c r="Z10" s="2985">
        <f>'FY18 SET'!$D$135*'FY18 SET'!L18/1000</f>
        <v/>
      </c>
      <c r="AA10" s="2985">
        <f>'FY18 SET'!$D$135*'FY18 SET'!N18/1000</f>
        <v/>
      </c>
      <c r="AB10" s="2985">
        <f>'FY18 SET'!$D$135*'FY18 SET'!O18/1000</f>
        <v/>
      </c>
      <c r="AC10" s="2985">
        <f>'FY18 SET'!$D$135*'FY18 SET'!P18/1000</f>
        <v/>
      </c>
      <c r="AD10" s="2985">
        <f>'FY18 SET'!$D$135*'FY18 SET'!Q18/1000</f>
        <v/>
      </c>
      <c r="AE10" s="2985">
        <f>'FY18 SET'!$D$135*'FY18 SET'!R18/1000</f>
        <v/>
      </c>
      <c r="AF10" s="2985">
        <f>'FY18 SET'!$D$135*'FY18 SET'!S18/1000</f>
        <v/>
      </c>
      <c r="AG10" s="2986">
        <f>SUM(U10:AF10)</f>
        <v/>
      </c>
      <c r="AJ10" s="2995" t="s">
        <v>409</v>
      </c>
      <c r="AK10" s="2996" t="n">
        <v>30994</v>
      </c>
      <c r="AL10" s="3002">
        <f>AK10/$AK$12</f>
        <v/>
      </c>
    </row>
    <row customHeight="1" ht="15.75" r="11" s="1843" spans="1:39" thickBot="1">
      <c r="B11" s="2992">
        <f>'FY18 SET'!B59</f>
        <v/>
      </c>
      <c r="C11" s="2993">
        <f>VLOOKUP($B11,$T$2:U23,2,FALSE)</f>
        <v/>
      </c>
      <c r="D11" s="2993">
        <f>VLOOKUP($B11,$T$2:V23,3,FALSE)</f>
        <v/>
      </c>
      <c r="E11" s="2993">
        <f>VLOOKUP($B11,$T$2:W23,4,FALSE)</f>
        <v/>
      </c>
      <c r="F11" s="2993">
        <f>VLOOKUP($B11,$T$2:X23,5,FALSE)</f>
        <v/>
      </c>
      <c r="G11" s="2993">
        <f>VLOOKUP($B11,$T$2:Y23,6,FALSE)</f>
        <v/>
      </c>
      <c r="H11" s="2993">
        <f>VLOOKUP($B11,$T$2:Z23,7,FALSE)</f>
        <v/>
      </c>
      <c r="I11" s="2993">
        <f>VLOOKUP($B11,$T$2:AA23,8,FALSE)</f>
        <v/>
      </c>
      <c r="J11" s="2993">
        <f>VLOOKUP($B11,$T$2:AB23,9,FALSE)</f>
        <v/>
      </c>
      <c r="K11" s="2993">
        <f>VLOOKUP($B11,$T$2:AC23,10,FALSE)</f>
        <v/>
      </c>
      <c r="L11" s="2993">
        <f>VLOOKUP($B11,$T$2:AD23,11,FALSE)</f>
        <v/>
      </c>
      <c r="M11" s="2993">
        <f>VLOOKUP($B11,$T$2:AE23,12,FALSE)</f>
        <v/>
      </c>
      <c r="N11" s="2993">
        <f>VLOOKUP($B11,$T$2:AF23,13,FALSE)</f>
        <v/>
      </c>
      <c r="O11" s="2994">
        <f>SUM(C11:N11)</f>
        <v/>
      </c>
      <c r="S11" s="1476" t="n"/>
      <c r="T11" s="2982" t="s">
        <v>108</v>
      </c>
      <c r="U11" s="2988" t="n">
        <v>23</v>
      </c>
      <c r="V11" s="2984" t="n">
        <v>0</v>
      </c>
      <c r="W11" s="2984" t="n"/>
      <c r="X11" s="2984" t="n"/>
      <c r="Y11" s="2985" t="n"/>
      <c r="Z11" s="2985">
        <f>20000*'FY18 SET'!L34/1000</f>
        <v/>
      </c>
      <c r="AA11" s="2985">
        <f>20000*'FY18 SET'!N34/1000</f>
        <v/>
      </c>
      <c r="AB11" s="2985">
        <f>20000*'FY18 SET'!O34/1000</f>
        <v/>
      </c>
      <c r="AC11" s="2985">
        <f>20000*'FY18 SET'!P34/1000</f>
        <v/>
      </c>
      <c r="AD11" s="2985">
        <f>20000*'FY18 SET'!Q34/1000</f>
        <v/>
      </c>
      <c r="AE11" s="2985">
        <f>20000*'FY18 SET'!R34/1000</f>
        <v/>
      </c>
      <c r="AF11" s="2985">
        <f>20000*'FY18 SET'!S34/1000</f>
        <v/>
      </c>
      <c r="AG11" s="2986">
        <f>SUM(U11:AF11)</f>
        <v/>
      </c>
      <c r="AJ11" s="2995" t="s">
        <v>410</v>
      </c>
      <c r="AK11" s="2996" t="n">
        <v>22621</v>
      </c>
      <c r="AL11" s="3002">
        <f>AK11/$AK$12</f>
        <v/>
      </c>
    </row>
    <row customHeight="1" ht="15.75" r="12" s="1843" spans="1:39" thickBot="1">
      <c r="B12" s="3000" t="s">
        <v>411</v>
      </c>
      <c r="C12" s="3001">
        <f>SUM(C9:C11)</f>
        <v/>
      </c>
      <c r="D12" s="3001">
        <f>SUM(D9:D11)</f>
        <v/>
      </c>
      <c r="E12" s="3001">
        <f>SUM(E9:E11)</f>
        <v/>
      </c>
      <c r="F12" s="3001">
        <f>SUM(F9:F11)</f>
        <v/>
      </c>
      <c r="G12" s="3001">
        <f>SUM(G9:G11)</f>
        <v/>
      </c>
      <c r="H12" s="3001">
        <f>SUM(H9:H11)</f>
        <v/>
      </c>
      <c r="I12" s="3001">
        <f>SUM(I9:I11)</f>
        <v/>
      </c>
      <c r="J12" s="3001">
        <f>SUM(J9:J11)</f>
        <v/>
      </c>
      <c r="K12" s="3001">
        <f>SUM(K9:K11)</f>
        <v/>
      </c>
      <c r="L12" s="3001">
        <f>SUM(L9:L11)</f>
        <v/>
      </c>
      <c r="M12" s="3001">
        <f>SUM(M9:M11)</f>
        <v/>
      </c>
      <c r="N12" s="3001">
        <f>SUM(N9:N11)</f>
        <v/>
      </c>
      <c r="O12" s="2981">
        <f>SUM(C12:N12)</f>
        <v/>
      </c>
      <c r="S12" s="1476" t="n"/>
      <c r="T12" s="2982" t="s">
        <v>105</v>
      </c>
      <c r="U12" s="2988" t="n">
        <v>364.0876999999999</v>
      </c>
      <c r="V12" s="2984" t="n">
        <v>271.36798</v>
      </c>
      <c r="W12" s="2984" t="n">
        <v>285.46516</v>
      </c>
      <c r="X12" s="2984" t="n">
        <v>305.946</v>
      </c>
      <c r="Y12" s="2985" t="n"/>
      <c r="Z12" s="2985">
        <f>'FY18 SET'!L140</f>
        <v/>
      </c>
      <c r="AA12" s="2985">
        <f>'FY18 SET'!N140</f>
        <v/>
      </c>
      <c r="AB12" s="2985">
        <f>'FY18 SET'!O140</f>
        <v/>
      </c>
      <c r="AC12" s="2985">
        <f>'FY18 SET'!P140</f>
        <v/>
      </c>
      <c r="AD12" s="2985">
        <f>'FY18 SET'!Q140</f>
        <v/>
      </c>
      <c r="AE12" s="2985">
        <f>'FY18 SET'!R140</f>
        <v/>
      </c>
      <c r="AF12" s="2985">
        <f>'FY18 SET'!S140</f>
        <v/>
      </c>
      <c r="AG12" s="2986">
        <f>SUM(U12:AF12)</f>
        <v/>
      </c>
      <c r="AJ12" s="2995" t="s">
        <v>412</v>
      </c>
      <c r="AK12" s="2996" t="n">
        <v>21173</v>
      </c>
      <c r="AL12" s="2996" t="n"/>
    </row>
    <row customHeight="1" ht="15" r="13" s="1843" spans="1:39">
      <c r="B13" s="2992">
        <f>'FY18 SET'!B47</f>
        <v/>
      </c>
      <c r="C13" s="2993">
        <f>VLOOKUP($B13,$T$2:U23,2,FALSE)</f>
        <v/>
      </c>
      <c r="D13" s="2993">
        <f>VLOOKUP($B13,$T$2:V23,3,FALSE)</f>
        <v/>
      </c>
      <c r="E13" s="2993">
        <f>VLOOKUP($B13,$T$2:W23,4,FALSE)</f>
        <v/>
      </c>
      <c r="F13" s="2993">
        <f>VLOOKUP($B13,$T$2:X23,5,FALSE)</f>
        <v/>
      </c>
      <c r="G13" s="2993">
        <f>VLOOKUP($B13,$T$2:Y23,6,FALSE)</f>
        <v/>
      </c>
      <c r="H13" s="2993">
        <f>VLOOKUP($B13,$T$2:Z23,7,FALSE)</f>
        <v/>
      </c>
      <c r="I13" s="2993">
        <f>VLOOKUP($B13,$T$2:AA23,8,FALSE)</f>
        <v/>
      </c>
      <c r="J13" s="2993">
        <f>VLOOKUP($B13,$T$2:AB23,9,FALSE)</f>
        <v/>
      </c>
      <c r="K13" s="2993">
        <f>VLOOKUP($B13,$T$2:AC23,10,FALSE)</f>
        <v/>
      </c>
      <c r="L13" s="2993">
        <f>VLOOKUP($B13,$T$2:AD23,11,FALSE)</f>
        <v/>
      </c>
      <c r="M13" s="2993">
        <f>VLOOKUP($B13,$T$2:AE23,12,FALSE)</f>
        <v/>
      </c>
      <c r="N13" s="2993">
        <f>VLOOKUP($B13,$T$2:AF23,13,FALSE)</f>
        <v/>
      </c>
      <c r="O13" s="2994">
        <f>SUM(C13:N13)</f>
        <v/>
      </c>
      <c r="S13" s="1476" t="n"/>
      <c r="T13" s="3003" t="s">
        <v>101</v>
      </c>
      <c r="U13" s="2983" t="n">
        <v>31.4</v>
      </c>
      <c r="V13" s="2984" t="n">
        <v>31.4</v>
      </c>
      <c r="W13" s="2984" t="n">
        <v>17</v>
      </c>
      <c r="X13" s="2984" t="n"/>
      <c r="Y13" s="2985" t="n"/>
      <c r="Z13" s="2985">
        <f>'FY18 SET'!$D$135*'FY18 SET'!L26/1000</f>
        <v/>
      </c>
      <c r="AA13" s="2985">
        <f>'FY18 SET'!$D$135*'FY18 SET'!N26/1000</f>
        <v/>
      </c>
      <c r="AB13" s="2985">
        <f>'FY18 SET'!$D$135*'FY18 SET'!O26/1000</f>
        <v/>
      </c>
      <c r="AC13" s="2985">
        <f>'FY18 SET'!$D$135*'FY18 SET'!P26/1000</f>
        <v/>
      </c>
      <c r="AD13" s="2985">
        <f>'FY18 SET'!$D$135*'FY18 SET'!Q26/1000</f>
        <v/>
      </c>
      <c r="AE13" s="2985">
        <f>'FY18 SET'!$D$135*'FY18 SET'!R26/1000</f>
        <v/>
      </c>
      <c r="AF13" s="2985">
        <f>'FY18 SET'!$D$135*'FY18 SET'!S26/1000</f>
        <v/>
      </c>
      <c r="AG13" s="3004">
        <f>SUM(U13:AF13)</f>
        <v/>
      </c>
    </row>
    <row customHeight="1" ht="15" r="14" s="1843" spans="1:39">
      <c r="B14" s="2992">
        <f>'FY18 SET'!B51</f>
        <v/>
      </c>
      <c r="C14" s="2993">
        <f>VLOOKUP($B14,$T$2:U23,2,FALSE)</f>
        <v/>
      </c>
      <c r="D14" s="2993">
        <f>VLOOKUP($B14,$T$2:V23,3,FALSE)</f>
        <v/>
      </c>
      <c r="E14" s="2993">
        <f>VLOOKUP($B14,$T$2:W23,4,FALSE)</f>
        <v/>
      </c>
      <c r="F14" s="2993">
        <f>VLOOKUP($B14,$T$2:X23,5,FALSE)</f>
        <v/>
      </c>
      <c r="G14" s="2993">
        <f>VLOOKUP($B14,$T$2:Y23,6,FALSE)</f>
        <v/>
      </c>
      <c r="H14" s="2993">
        <f>VLOOKUP($B14,$T$2:Z23,7,FALSE)</f>
        <v/>
      </c>
      <c r="I14" s="2993">
        <f>VLOOKUP($B14,$T$2:AA23,8,FALSE)</f>
        <v/>
      </c>
      <c r="J14" s="2993">
        <f>VLOOKUP($B14,$T$2:AB23,9,FALSE)</f>
        <v/>
      </c>
      <c r="K14" s="2993">
        <f>VLOOKUP($B14,$T$2:AC23,10,FALSE)</f>
        <v/>
      </c>
      <c r="L14" s="2993">
        <f>VLOOKUP($B14,$T$2:AD23,11,FALSE)</f>
        <v/>
      </c>
      <c r="M14" s="2993">
        <f>VLOOKUP($B14,$T$2:AE23,12,FALSE)</f>
        <v/>
      </c>
      <c r="N14" s="2993">
        <f>VLOOKUP($B14,$T$2:AF23,13,FALSE)</f>
        <v/>
      </c>
      <c r="O14" s="2994">
        <f>SUM(C14:N14)</f>
        <v/>
      </c>
      <c r="S14" s="1476" t="n"/>
      <c r="T14" s="3003" t="s">
        <v>123</v>
      </c>
      <c r="U14" s="2988" t="n">
        <v>35.592</v>
      </c>
      <c r="V14" s="2984" t="n">
        <v>28.143</v>
      </c>
      <c r="W14" s="2989" t="n">
        <v>37.165</v>
      </c>
      <c r="X14" s="2989" t="n">
        <v>37.165</v>
      </c>
      <c r="Y14" s="2985" t="n"/>
      <c r="Z14" s="2985">
        <f>'FY18 SET'!$D$137*'FY18 SET'!L50/1000</f>
        <v/>
      </c>
      <c r="AA14" s="2985">
        <f>'FY18 SET'!$D$137*'FY18 SET'!N50/1000</f>
        <v/>
      </c>
      <c r="AB14" s="2985">
        <f>'FY18 SET'!$D$137*'FY18 SET'!O50/1000</f>
        <v/>
      </c>
      <c r="AC14" s="2985">
        <f>'FY18 SET'!$D$137*'FY18 SET'!P50/1000</f>
        <v/>
      </c>
      <c r="AD14" s="2985">
        <f>'FY18 SET'!$D$137*'FY18 SET'!Q50/1000</f>
        <v/>
      </c>
      <c r="AE14" s="2985">
        <f>'FY18 SET'!$D$137*'FY18 SET'!R50/1000</f>
        <v/>
      </c>
      <c r="AF14" s="2985">
        <f>'FY18 SET'!$D$137*'FY18 SET'!S50/1000</f>
        <v/>
      </c>
      <c r="AG14" s="3004">
        <f>SUM(U14:AF14)</f>
        <v/>
      </c>
    </row>
    <row customHeight="1" ht="15" r="15" s="1843" spans="1:39">
      <c r="B15" s="2992">
        <f>'FY18 SET'!B55</f>
        <v/>
      </c>
      <c r="C15" s="2993" t="n"/>
      <c r="D15" s="2993" t="n"/>
      <c r="E15" s="2993" t="n"/>
      <c r="F15" s="2993" t="n"/>
      <c r="G15" s="2993" t="n"/>
      <c r="H15" s="2993" t="n"/>
      <c r="I15" s="2993" t="n"/>
      <c r="J15" s="2993" t="n"/>
      <c r="K15" s="2993" t="n"/>
      <c r="L15" s="2993" t="n"/>
      <c r="M15" s="2993" t="n"/>
      <c r="N15" s="2993" t="n"/>
      <c r="O15" s="2994">
        <f>SUM(C15:N15)</f>
        <v/>
      </c>
      <c r="S15" s="1476" t="n"/>
      <c r="T15" s="3003" t="n"/>
      <c r="U15" s="2988" t="n"/>
      <c r="V15" s="2984" t="n"/>
      <c r="W15" s="2984" t="n"/>
      <c r="X15" s="2984" t="n"/>
      <c r="Y15" s="3005" t="n"/>
      <c r="Z15" s="3005" t="n"/>
      <c r="AA15" s="3005" t="n"/>
      <c r="AB15" s="3005" t="n"/>
      <c r="AC15" s="3005" t="n"/>
      <c r="AD15" s="3005" t="n"/>
      <c r="AE15" s="3005" t="n"/>
      <c r="AF15" s="3005" t="n"/>
      <c r="AG15" s="3004">
        <f>SUM(U15:AF15)</f>
        <v/>
      </c>
    </row>
    <row customHeight="1" ht="15" r="16" s="1843" spans="1:39">
      <c r="B16" s="2987" t="s">
        <v>413</v>
      </c>
      <c r="C16" s="3006">
        <f>SUM(C13:C15)</f>
        <v/>
      </c>
      <c r="D16" s="3006">
        <f>SUM(D13:D15)</f>
        <v/>
      </c>
      <c r="E16" s="3006">
        <f>SUM(E13:E15)</f>
        <v/>
      </c>
      <c r="F16" s="3006">
        <f>SUM(F13:F15)</f>
        <v/>
      </c>
      <c r="G16" s="3006">
        <f>SUM(G13:G15)</f>
        <v/>
      </c>
      <c r="H16" s="3006">
        <f>SUM(H13:H15)</f>
        <v/>
      </c>
      <c r="I16" s="3006">
        <f>SUM(I13:I15)</f>
        <v/>
      </c>
      <c r="J16" s="3006">
        <f>SUM(J13:J15)</f>
        <v/>
      </c>
      <c r="K16" s="3006">
        <f>SUM(K13:K15)</f>
        <v/>
      </c>
      <c r="L16" s="3006">
        <f>SUM(L13:L15)</f>
        <v/>
      </c>
      <c r="M16" s="3006">
        <f>SUM(M13:M15)</f>
        <v/>
      </c>
      <c r="N16" s="3006">
        <f>SUM(N13:N15)</f>
        <v/>
      </c>
      <c r="O16" s="3006">
        <f>SUM(C16:N16)</f>
        <v/>
      </c>
      <c r="S16" s="1476" t="n"/>
      <c r="T16" s="3003" t="n"/>
      <c r="U16" s="2988" t="n"/>
      <c r="V16" s="2984" t="n"/>
      <c r="W16" s="2984" t="n"/>
      <c r="X16" s="2984" t="n"/>
      <c r="Y16" s="3005" t="n"/>
      <c r="Z16" s="3005" t="n"/>
      <c r="AA16" s="3005" t="n"/>
      <c r="AB16" s="3005" t="n"/>
      <c r="AC16" s="3005" t="n"/>
      <c r="AD16" s="3005" t="n"/>
      <c r="AE16" s="3005" t="n"/>
      <c r="AF16" s="3005" t="n"/>
      <c r="AG16" s="3004">
        <f>SUM(U16:AF16)</f>
        <v/>
      </c>
    </row>
    <row customHeight="1" ht="15" r="17" s="1843" spans="1:39">
      <c r="B17" s="2979">
        <f>'FY18 SET'!B7</f>
        <v/>
      </c>
      <c r="C17" s="2980">
        <f>VLOOKUP($B17,$T$2:U23,2,FALSE)</f>
        <v/>
      </c>
      <c r="D17" s="2980">
        <f>VLOOKUP($B17,$T$2:V23,3,FALSE)</f>
        <v/>
      </c>
      <c r="E17" s="2980">
        <f>VLOOKUP($B17,$T$2:W23,4,FALSE)</f>
        <v/>
      </c>
      <c r="F17" s="2980">
        <f>VLOOKUP($B17,$T$2:X23,5,FALSE)</f>
        <v/>
      </c>
      <c r="G17" s="2980">
        <f>VLOOKUP($B17,$T$2:Y23,6,FALSE)</f>
        <v/>
      </c>
      <c r="H17" s="2980">
        <f>VLOOKUP($B17,$T$2:Z23,7,FALSE)</f>
        <v/>
      </c>
      <c r="I17" s="2980">
        <f>VLOOKUP($B17,$T$2:AA23,8,FALSE)</f>
        <v/>
      </c>
      <c r="J17" s="2980">
        <f>VLOOKUP($B17,$T$2:AB23,9,FALSE)</f>
        <v/>
      </c>
      <c r="K17" s="2980">
        <f>VLOOKUP($B17,$T$2:AC23,10,FALSE)</f>
        <v/>
      </c>
      <c r="L17" s="2980">
        <f>VLOOKUP($B17,$T$2:AD23,11,FALSE)</f>
        <v/>
      </c>
      <c r="M17" s="2980">
        <f>VLOOKUP($B17,$T$2:AE23,12,FALSE)</f>
        <v/>
      </c>
      <c r="N17" s="2980">
        <f>VLOOKUP($B17,$T$2:AF23,13,FALSE)</f>
        <v/>
      </c>
      <c r="O17" s="2981">
        <f>SUM(C17:N17)</f>
        <v/>
      </c>
      <c r="S17" s="1476" t="n"/>
      <c r="T17" s="3003" t="s">
        <v>414</v>
      </c>
      <c r="U17" s="2988" t="n">
        <v>-26.14243</v>
      </c>
      <c r="V17" s="2984" t="n">
        <v>-21.03936</v>
      </c>
      <c r="W17" s="2984" t="n">
        <v>-20.45533</v>
      </c>
      <c r="X17" s="2984" t="n"/>
      <c r="Y17" s="3005" t="n"/>
      <c r="Z17" s="3005" t="n"/>
      <c r="AA17" s="3005" t="n"/>
      <c r="AB17" s="3005" t="n"/>
      <c r="AC17" s="3005" t="n"/>
      <c r="AD17" s="3005" t="n"/>
      <c r="AE17" s="3005" t="n"/>
      <c r="AF17" s="3005" t="n"/>
      <c r="AG17" s="3004">
        <f>SUM(U17:AF17)</f>
        <v/>
      </c>
    </row>
    <row customHeight="1" ht="15" r="18" s="1843" spans="1:39">
      <c r="B18" s="2979">
        <f>'FY18 SET'!B11</f>
        <v/>
      </c>
      <c r="C18" s="2980">
        <f>VLOOKUP($B18,$T$2:U23,2,FALSE)</f>
        <v/>
      </c>
      <c r="D18" s="2980">
        <f>VLOOKUP($B18,$T$2:V23,3,FALSE)</f>
        <v/>
      </c>
      <c r="E18" s="2980">
        <f>VLOOKUP($B18,$T$2:W23,4,FALSE)</f>
        <v/>
      </c>
      <c r="F18" s="2980">
        <f>VLOOKUP($B18,$T$2:X23,5,FALSE)</f>
        <v/>
      </c>
      <c r="G18" s="2980">
        <f>VLOOKUP($B18,$T$2:Y23,6,FALSE)</f>
        <v/>
      </c>
      <c r="H18" s="2980">
        <f>VLOOKUP($B18,$T$2:Z23,7,FALSE)</f>
        <v/>
      </c>
      <c r="I18" s="2980">
        <f>VLOOKUP($B18,$T$2:AA23,8,FALSE)</f>
        <v/>
      </c>
      <c r="J18" s="2980">
        <f>VLOOKUP($B18,$T$2:AB23,9,FALSE)</f>
        <v/>
      </c>
      <c r="K18" s="2980">
        <f>VLOOKUP($B18,$T$2:AC23,10,FALSE)</f>
        <v/>
      </c>
      <c r="L18" s="2980">
        <f>VLOOKUP($B18,$T$2:AD23,11,FALSE)</f>
        <v/>
      </c>
      <c r="M18" s="2980">
        <f>VLOOKUP($B18,$T$2:AE23,12,FALSE)</f>
        <v/>
      </c>
      <c r="N18" s="2980">
        <f>VLOOKUP($B18,$T$2:AF23,13,FALSE)</f>
        <v/>
      </c>
      <c r="O18" s="2981">
        <f>SUM(C18:N18)</f>
        <v/>
      </c>
      <c r="S18" s="1480" t="n"/>
      <c r="T18" s="1470" t="s">
        <v>415</v>
      </c>
      <c r="U18" s="3007">
        <f>SUM(U2:U17)</f>
        <v/>
      </c>
      <c r="V18" s="3007">
        <f>SUM(V2:V17)</f>
        <v/>
      </c>
      <c r="W18" s="3007">
        <f>SUM(W2:W17)</f>
        <v/>
      </c>
      <c r="X18" s="3007">
        <f>SUM(X2:X17)</f>
        <v/>
      </c>
      <c r="Y18" s="3007">
        <f>SUM(Y2:Y17)</f>
        <v/>
      </c>
      <c r="Z18" s="3007">
        <f>SUM(Z2:Z17)</f>
        <v/>
      </c>
      <c r="AA18" s="3007">
        <f>SUM(AA2:AA17)</f>
        <v/>
      </c>
      <c r="AB18" s="3007">
        <f>SUM(AB2:AB17)</f>
        <v/>
      </c>
      <c r="AC18" s="3007">
        <f>SUM(AC2:AC17)</f>
        <v/>
      </c>
      <c r="AD18" s="3007">
        <f>SUM(AD2:AD17)</f>
        <v/>
      </c>
      <c r="AE18" s="3007">
        <f>SUM(AE2:AE17)</f>
        <v/>
      </c>
      <c r="AF18" s="3007">
        <f>SUM(AF2:AF17)</f>
        <v/>
      </c>
      <c r="AG18" s="3007">
        <f>SUM(AG2:AG17)</f>
        <v/>
      </c>
    </row>
    <row customHeight="1" ht="15" r="19" s="1843" spans="1:39">
      <c r="B19" s="2979">
        <f>'FY18 SET'!B15</f>
        <v/>
      </c>
      <c r="C19" s="2980">
        <f>VLOOKUP($B19,$T$2:U23,2,FALSE)</f>
        <v/>
      </c>
      <c r="D19" s="2980">
        <f>VLOOKUP($B19,$T$2:V23,3,FALSE)</f>
        <v/>
      </c>
      <c r="E19" s="2980">
        <f>VLOOKUP($B19,$T$2:W23,4,FALSE)</f>
        <v/>
      </c>
      <c r="F19" s="2980">
        <f>VLOOKUP($B19,$T$2:X23,5,FALSE)</f>
        <v/>
      </c>
      <c r="G19" s="2980">
        <f>VLOOKUP($B19,$T$2:Y23,6,FALSE)</f>
        <v/>
      </c>
      <c r="H19" s="2980">
        <f>VLOOKUP($B19,$T$2:Z23,7,FALSE)</f>
        <v/>
      </c>
      <c r="I19" s="2980">
        <f>VLOOKUP($B19,$T$2:AA23,8,FALSE)</f>
        <v/>
      </c>
      <c r="J19" s="2980">
        <f>VLOOKUP($B19,$T$2:AB23,9,FALSE)</f>
        <v/>
      </c>
      <c r="K19" s="2980">
        <f>VLOOKUP($B19,$T$2:AC23,10,FALSE)</f>
        <v/>
      </c>
      <c r="L19" s="2980">
        <f>VLOOKUP($B19,$T$2:AD23,11,FALSE)</f>
        <v/>
      </c>
      <c r="M19" s="2980">
        <f>VLOOKUP($B19,$T$2:AE23,12,FALSE)</f>
        <v/>
      </c>
      <c r="N19" s="2980">
        <f>VLOOKUP($B19,$T$2:AF23,13,FALSE)</f>
        <v/>
      </c>
      <c r="O19" s="2981">
        <f>SUM(C19:N19)</f>
        <v/>
      </c>
      <c r="U19" s="3008" t="n"/>
      <c r="V19" s="3008" t="n"/>
      <c r="W19" s="3008" t="n"/>
      <c r="X19" s="3008" t="n"/>
      <c r="Y19" s="3008" t="n"/>
      <c r="Z19" s="3008" t="n"/>
      <c r="AA19" s="3008" t="n"/>
      <c r="AB19" s="3008" t="n"/>
      <c r="AC19" s="3008" t="n"/>
      <c r="AD19" s="3008" t="n"/>
      <c r="AE19" s="3008" t="n"/>
      <c r="AF19" s="3008" t="n"/>
      <c r="AG19" s="3008" t="n"/>
    </row>
    <row customHeight="1" ht="15" r="20" s="1843" spans="1:39">
      <c r="B20" s="2987" t="s">
        <v>416</v>
      </c>
      <c r="C20" s="2981">
        <f>SUM(C17:C19)</f>
        <v/>
      </c>
      <c r="D20" s="2981">
        <f>SUM(D17:D19)</f>
        <v/>
      </c>
      <c r="E20" s="2981">
        <f>SUM(E17:E19)</f>
        <v/>
      </c>
      <c r="F20" s="2981">
        <f>SUM(F17:F19)</f>
        <v/>
      </c>
      <c r="G20" s="2981">
        <f>SUM(G17:G19)</f>
        <v/>
      </c>
      <c r="H20" s="2981">
        <f>SUM(H17:H19)</f>
        <v/>
      </c>
      <c r="I20" s="2981">
        <f>SUM(I17:I19)</f>
        <v/>
      </c>
      <c r="J20" s="2981">
        <f>SUM(J17:J19)</f>
        <v/>
      </c>
      <c r="K20" s="2981">
        <f>SUM(K17:K19)</f>
        <v/>
      </c>
      <c r="L20" s="2981">
        <f>SUM(L17:L19)</f>
        <v/>
      </c>
      <c r="M20" s="2981">
        <f>SUM(M17:M19)</f>
        <v/>
      </c>
      <c r="N20" s="2981">
        <f>SUM(N17:N19)</f>
        <v/>
      </c>
      <c r="O20" s="2981">
        <f>SUM(C20:N20)</f>
        <v/>
      </c>
      <c r="T20" s="1487" t="n"/>
      <c r="U20" s="3008" t="n"/>
      <c r="V20" s="3008" t="n"/>
      <c r="W20" s="3008" t="n"/>
      <c r="X20" s="3008" t="n"/>
      <c r="Y20" s="3008" t="n"/>
      <c r="Z20" s="3008" t="n"/>
      <c r="AA20" s="3008" t="n"/>
      <c r="AB20" s="3008" t="n"/>
      <c r="AC20" s="3008" t="n"/>
      <c r="AD20" s="3008" t="n"/>
      <c r="AE20" s="3008" t="n"/>
      <c r="AF20" s="3008" t="n"/>
      <c r="AG20" s="3008" t="n"/>
    </row>
    <row customHeight="1" ht="21" r="21" s="1843" spans="1:39">
      <c r="B21" s="2979">
        <f>'FY18 SET'!B31</f>
        <v/>
      </c>
      <c r="C21" s="2980">
        <f>VLOOKUP($B21,$T$2:U27,2,FALSE)</f>
        <v/>
      </c>
      <c r="D21" s="2980">
        <f>VLOOKUP($B21,$T$2:V28,3,FALSE)</f>
        <v/>
      </c>
      <c r="E21" s="2980">
        <f>VLOOKUP($B21,$T$2:W28,4,FALSE)</f>
        <v/>
      </c>
      <c r="F21" s="2980">
        <f>VLOOKUP($B21,$T$2:X28,5,FALSE)</f>
        <v/>
      </c>
      <c r="G21" s="2980">
        <f>VLOOKUP($B21,$T$2:Y28,6,FALSE)</f>
        <v/>
      </c>
      <c r="H21" s="2980">
        <f>VLOOKUP($B21,$T$2:Z28,7,FALSE)</f>
        <v/>
      </c>
      <c r="I21" s="2980">
        <f>VLOOKUP($B21,$T$2:AA28,8,FALSE)</f>
        <v/>
      </c>
      <c r="J21" s="2980">
        <f>VLOOKUP($B21,$T$2:AB28,9,FALSE)</f>
        <v/>
      </c>
      <c r="K21" s="2980">
        <f>VLOOKUP($B21,$T$2:AC28,10,FALSE)</f>
        <v/>
      </c>
      <c r="L21" s="2980">
        <f>VLOOKUP($B21,$T$2:AD28,11,FALSE)</f>
        <v/>
      </c>
      <c r="M21" s="2980">
        <f>VLOOKUP($B21,$T$2:AE28,12,FALSE)</f>
        <v/>
      </c>
      <c r="N21" s="2980">
        <f>VLOOKUP($B21,$T$2:AF28,13,FALSE)</f>
        <v/>
      </c>
      <c r="O21" s="2981">
        <f>SUM(C21:N21)</f>
        <v/>
      </c>
      <c r="T21" s="1487" t="n"/>
      <c r="U21" s="3008" t="n"/>
      <c r="V21" s="3008" t="n"/>
      <c r="W21" s="3008" t="n"/>
      <c r="X21" s="3008" t="n"/>
      <c r="Y21" s="3008" t="n"/>
      <c r="Z21" s="3008" t="n"/>
      <c r="AA21" s="3008" t="n"/>
      <c r="AB21" s="3008" t="n"/>
      <c r="AC21" s="3008" t="n"/>
      <c r="AD21" s="3008" t="n"/>
      <c r="AE21" s="3008" t="n"/>
      <c r="AF21" s="3008" t="n"/>
      <c r="AG21" s="3008" t="n"/>
    </row>
    <row customHeight="1" ht="15" r="22" s="1843" spans="1:39">
      <c r="B22" s="2987" t="s">
        <v>417</v>
      </c>
      <c r="C22" s="2981">
        <f>SUM(C21:C21)</f>
        <v/>
      </c>
      <c r="D22" s="2981">
        <f>SUM(D21:D21)</f>
        <v/>
      </c>
      <c r="E22" s="2981">
        <f>SUM(E21:E21)</f>
        <v/>
      </c>
      <c r="F22" s="2981">
        <f>SUM(F21:F21)</f>
        <v/>
      </c>
      <c r="G22" s="2981">
        <f>SUM(G21:G21)</f>
        <v/>
      </c>
      <c r="H22" s="2981">
        <f>SUM(H21:H21)</f>
        <v/>
      </c>
      <c r="I22" s="2981">
        <f>SUM(I21:I21)</f>
        <v/>
      </c>
      <c r="J22" s="2981">
        <f>SUM(J21:J21)</f>
        <v/>
      </c>
      <c r="K22" s="2981">
        <f>SUM(K21:K21)</f>
        <v/>
      </c>
      <c r="L22" s="2981">
        <f>SUM(L21:L21)</f>
        <v/>
      </c>
      <c r="M22" s="2981">
        <f>SUM(M21:M21)</f>
        <v/>
      </c>
      <c r="N22" s="2981">
        <f>SUM(N21:N21)</f>
        <v/>
      </c>
      <c r="O22" s="2981">
        <f>SUM(O21:O21)</f>
        <v/>
      </c>
      <c r="T22" s="1487" t="n"/>
      <c r="U22" s="3008" t="n"/>
      <c r="V22" s="3008" t="n"/>
      <c r="W22" s="3008" t="n"/>
      <c r="X22" s="3008" t="n"/>
      <c r="Y22" s="3008" t="n"/>
      <c r="Z22" s="3008" t="n"/>
      <c r="AA22" s="3008" t="n"/>
      <c r="AB22" s="3008" t="n"/>
      <c r="AC22" s="3008" t="n"/>
      <c r="AD22" s="3008" t="n"/>
      <c r="AE22" s="3008" t="n"/>
      <c r="AF22" s="3008" t="n"/>
      <c r="AG22" s="3008" t="n"/>
    </row>
    <row customHeight="1" ht="15" r="23" s="1843" spans="1:39">
      <c r="B23" s="3009" t="s">
        <v>414</v>
      </c>
      <c r="C23" s="2981">
        <f>U17</f>
        <v/>
      </c>
      <c r="D23" s="2981">
        <f>V17</f>
        <v/>
      </c>
      <c r="E23" s="2981">
        <f>W17</f>
        <v/>
      </c>
      <c r="F23" s="2981">
        <f>X17</f>
        <v/>
      </c>
      <c r="G23" s="2981">
        <f>Y17</f>
        <v/>
      </c>
      <c r="H23" s="2981">
        <f>Z17</f>
        <v/>
      </c>
      <c r="I23" s="2981">
        <f>AA17</f>
        <v/>
      </c>
      <c r="J23" s="2981">
        <f>AB17</f>
        <v/>
      </c>
      <c r="K23" s="2981">
        <f>AC17</f>
        <v/>
      </c>
      <c r="L23" s="2981">
        <f>AD17</f>
        <v/>
      </c>
      <c r="M23" s="2981">
        <f>AE17</f>
        <v/>
      </c>
      <c r="N23" s="2981">
        <f>AF17</f>
        <v/>
      </c>
      <c r="O23" s="2981">
        <f>SUM(C23:N23)</f>
        <v/>
      </c>
      <c r="T23" s="1487" t="n"/>
      <c r="U23" s="3008" t="n"/>
      <c r="V23" s="3008" t="n"/>
      <c r="W23" s="3008" t="n"/>
      <c r="X23" s="3008" t="n"/>
      <c r="Y23" s="3008" t="n"/>
      <c r="Z23" s="3008" t="n"/>
      <c r="AA23" s="3008" t="n"/>
      <c r="AB23" s="3008" t="n"/>
      <c r="AC23" s="3008" t="n"/>
      <c r="AD23" s="3008" t="n"/>
      <c r="AE23" s="3008" t="n"/>
      <c r="AF23" s="3008" t="n"/>
      <c r="AG23" s="3008" t="n"/>
    </row>
    <row customHeight="1" ht="15" r="24" s="1843" spans="1:39">
      <c r="B24" s="3010" t="s">
        <v>418</v>
      </c>
      <c r="C24" s="3011">
        <f>SUM(C23,C22,C20,C16,C12,C8,C3)</f>
        <v/>
      </c>
      <c r="D24" s="3011">
        <f>SUM(D23,D22,D20,D16,D12,D8,D3)</f>
        <v/>
      </c>
      <c r="E24" s="3011">
        <f>SUM(E23,E22,E20,E16,E12,E8,E3)</f>
        <v/>
      </c>
      <c r="F24" s="3011">
        <f>SUM(F23,F22,F20,F16,F12,F8,F3)</f>
        <v/>
      </c>
      <c r="G24" s="3011">
        <f>SUM(G23,G22,G20,G16,G12,G8,G3)</f>
        <v/>
      </c>
      <c r="H24" s="3011">
        <f>SUM(H23,H22,H20,H16,H12,H8,H3)</f>
        <v/>
      </c>
      <c r="I24" s="3011">
        <f>SUM(I23,I22,I20,I16,I12,I8,I3)</f>
        <v/>
      </c>
      <c r="J24" s="3011">
        <f>SUM(J23,J22,J20,J16,J12,J8,J3)</f>
        <v/>
      </c>
      <c r="K24" s="3011">
        <f>SUM(K23,K22,K20,K16,K12,K8,K3)</f>
        <v/>
      </c>
      <c r="L24" s="3011">
        <f>SUM(L23,L22,L20,L16,L12,L8,L3)</f>
        <v/>
      </c>
      <c r="M24" s="3011">
        <f>SUM(M23,M22,M20,M16,M12,M8,M3)</f>
        <v/>
      </c>
      <c r="N24" s="3011">
        <f>SUM(N23,N22,N20,N16,N12,N8,N3)</f>
        <v/>
      </c>
      <c r="O24" s="3011">
        <f>SUM(C24:N24)</f>
        <v/>
      </c>
      <c r="U24" s="3008" t="n"/>
      <c r="V24" s="3008" t="n"/>
      <c r="W24" s="3008" t="n"/>
      <c r="X24" s="3008" t="n"/>
      <c r="Y24" s="3008" t="n"/>
      <c r="Z24" s="3008" t="n"/>
      <c r="AA24" s="3012" t="n"/>
      <c r="AB24" s="3012" t="n"/>
      <c r="AC24" s="3012" t="n"/>
      <c r="AD24" s="3012" t="n"/>
      <c r="AE24" s="3012" t="n"/>
      <c r="AF24" s="3012" t="n"/>
      <c r="AG24" s="3008" t="n"/>
    </row>
    <row customHeight="1" ht="15" r="25" s="1843" spans="1:39">
      <c r="B25" s="3010" t="s">
        <v>419</v>
      </c>
      <c r="C25" s="3011">
        <f>SUM(C22,C20,C16,C12,C8)</f>
        <v/>
      </c>
      <c r="D25" s="3011">
        <f>SUM(D22,D20,D16,D12,D8)</f>
        <v/>
      </c>
      <c r="E25" s="3011">
        <f>SUM(E22,E20,E16,E12,E8)</f>
        <v/>
      </c>
      <c r="F25" s="3011">
        <f>SUM(F22,F20,F16,F12,F8)</f>
        <v/>
      </c>
      <c r="G25" s="3011">
        <f>SUM(G22,G20,G16,G12,G8)</f>
        <v/>
      </c>
      <c r="H25" s="3011">
        <f>SUM(H22,H20,H16,H12,H8)</f>
        <v/>
      </c>
      <c r="I25" s="3011">
        <f>SUM(I22,I20,I16,I12,I8)</f>
        <v/>
      </c>
      <c r="J25" s="3011">
        <f>SUM(J22,J20,J16,J12,J8)</f>
        <v/>
      </c>
      <c r="K25" s="3011">
        <f>SUM(K22,K20,K16,K12,K8)</f>
        <v/>
      </c>
      <c r="L25" s="3011">
        <f>SUM(L22,L20,L16,L12,L8)</f>
        <v/>
      </c>
      <c r="M25" s="3011">
        <f>SUM(M22,M20,M16,M12,M8)</f>
        <v/>
      </c>
      <c r="N25" s="3011">
        <f>SUM(N22,N20,N16,N12,N8)</f>
        <v/>
      </c>
      <c r="O25" s="3011">
        <f>SUM(C25:N25)</f>
        <v/>
      </c>
    </row>
    <row customHeight="1" ht="36.75" r="28" s="1843" spans="1:39">
      <c r="A28" s="2976" t="s">
        <v>175</v>
      </c>
      <c r="B28" s="2976" t="s">
        <v>420</v>
      </c>
      <c r="C28" s="2976" t="s">
        <v>62</v>
      </c>
      <c r="D28" s="2976" t="s">
        <v>63</v>
      </c>
      <c r="E28" s="2976" t="s">
        <v>64</v>
      </c>
      <c r="F28" s="2976" t="s">
        <v>174</v>
      </c>
      <c r="G28" s="2976" t="s">
        <v>66</v>
      </c>
      <c r="H28" s="2976" t="s">
        <v>67</v>
      </c>
      <c r="I28" s="2976" t="s">
        <v>69</v>
      </c>
      <c r="J28" s="2976" t="s">
        <v>70</v>
      </c>
      <c r="K28" s="2976" t="s">
        <v>71</v>
      </c>
      <c r="L28" s="2976" t="s">
        <v>72</v>
      </c>
      <c r="M28" s="2976" t="s">
        <v>73</v>
      </c>
      <c r="N28" s="2976" t="s">
        <v>74</v>
      </c>
      <c r="O28" s="2976" t="s">
        <v>55</v>
      </c>
    </row>
    <row customHeight="1" ht="15" r="29" s="1843" spans="1:39">
      <c r="A29" s="1819" t="s">
        <v>54</v>
      </c>
      <c r="B29" s="2992">
        <f>B4</f>
        <v/>
      </c>
      <c r="C29" s="2993" t="n"/>
      <c r="D29" s="2993" t="n"/>
      <c r="E29" s="2993" t="n"/>
      <c r="F29" s="2993" t="n"/>
      <c r="G29" s="2993" t="n"/>
      <c r="H29" s="2993" t="n"/>
      <c r="I29" s="2993" t="n"/>
      <c r="J29" s="2993" t="n"/>
      <c r="K29" s="2993" t="n"/>
      <c r="L29" s="2993" t="n"/>
      <c r="M29" s="2993" t="n"/>
      <c r="N29" s="2993" t="n"/>
      <c r="O29" s="2994">
        <f>SUM(C29:N29)</f>
        <v/>
      </c>
    </row>
    <row customHeight="1" ht="15" r="30" s="1843" spans="1:39">
      <c r="B30" s="2992">
        <f>B5</f>
        <v/>
      </c>
      <c r="C30" s="2993" t="n"/>
      <c r="D30" s="2993" t="n"/>
      <c r="E30" s="2993" t="n"/>
      <c r="F30" s="2993" t="n"/>
      <c r="G30" s="2993" t="n"/>
      <c r="H30" s="2993" t="n"/>
      <c r="I30" s="2993" t="n"/>
      <c r="J30" s="2993" t="n"/>
      <c r="K30" s="2993" t="n"/>
      <c r="L30" s="2993" t="n"/>
      <c r="M30" s="2993" t="n"/>
      <c r="N30" s="2993" t="n"/>
      <c r="O30" s="2994">
        <f>SUM(C30:N30)</f>
        <v/>
      </c>
    </row>
    <row customHeight="1" ht="15" r="31" s="1843" spans="1:39">
      <c r="B31" s="2992">
        <f>B6</f>
        <v/>
      </c>
      <c r="C31" s="2993" t="n"/>
      <c r="D31" s="2993" t="n"/>
      <c r="E31" s="2993" t="n"/>
      <c r="F31" s="2993" t="n"/>
      <c r="G31" s="2993" t="n"/>
      <c r="H31" s="2993" t="n"/>
      <c r="I31" s="2993" t="n"/>
      <c r="J31" s="2993" t="n"/>
      <c r="K31" s="2993" t="n"/>
      <c r="L31" s="2993" t="n"/>
      <c r="M31" s="2993" t="n"/>
      <c r="N31" s="2993" t="n"/>
      <c r="O31" s="2994">
        <f>SUM(C31:N31)</f>
        <v/>
      </c>
    </row>
    <row customHeight="1" ht="15" r="32" s="1843" spans="1:39">
      <c r="B32" s="2992">
        <f>B7</f>
        <v/>
      </c>
      <c r="C32" s="2993" t="n"/>
      <c r="D32" s="2993" t="n"/>
      <c r="E32" s="2993" t="n"/>
      <c r="F32" s="2993" t="n"/>
      <c r="G32" s="2993" t="n"/>
      <c r="H32" s="2993" t="n"/>
      <c r="I32" s="2993" t="n"/>
      <c r="J32" s="2993" t="n"/>
      <c r="K32" s="2993" t="n"/>
      <c r="L32" s="2993" t="n"/>
      <c r="M32" s="2993" t="n"/>
      <c r="N32" s="2993" t="n"/>
      <c r="O32" s="2994">
        <f>SUM(C32:N32)</f>
        <v/>
      </c>
    </row>
    <row customHeight="1" ht="15" r="33" s="1843" spans="1:39">
      <c r="B33" s="3000" t="s">
        <v>406</v>
      </c>
      <c r="C33" s="3001">
        <f>SUM(C29:C32)</f>
        <v/>
      </c>
      <c r="D33" s="3001">
        <f>SUM(D29:D32)</f>
        <v/>
      </c>
      <c r="E33" s="3001">
        <f>SUM(E29:E32)</f>
        <v/>
      </c>
      <c r="F33" s="3001">
        <f>SUM(F29:F32)</f>
        <v/>
      </c>
      <c r="G33" s="3001">
        <f>SUM(G29:G32)</f>
        <v/>
      </c>
      <c r="H33" s="3001">
        <f>SUM(H29:H32)</f>
        <v/>
      </c>
      <c r="I33" s="3001">
        <f>SUM(I29:I32)</f>
        <v/>
      </c>
      <c r="J33" s="3001">
        <f>SUM(J29:J32)</f>
        <v/>
      </c>
      <c r="K33" s="3001">
        <f>SUM(K29:K32)</f>
        <v/>
      </c>
      <c r="L33" s="3001">
        <f>SUM(L29:L32)</f>
        <v/>
      </c>
      <c r="M33" s="3001">
        <f>SUM(M29:M32)</f>
        <v/>
      </c>
      <c r="N33" s="3001">
        <f>SUM(N29:N32)</f>
        <v/>
      </c>
      <c r="O33" s="2981">
        <f>SUM(C33:N33)</f>
        <v/>
      </c>
    </row>
    <row customHeight="1" ht="15" r="34" s="1843" spans="1:39">
      <c r="B34" s="2992">
        <f>B9</f>
        <v/>
      </c>
      <c r="C34" s="2993" t="n"/>
      <c r="D34" s="2993" t="n"/>
      <c r="E34" s="2993" t="n"/>
      <c r="F34" s="2993" t="n"/>
      <c r="G34" s="2993" t="n"/>
      <c r="H34" s="2993" t="n"/>
      <c r="I34" s="2993" t="n"/>
      <c r="J34" s="2993" t="n"/>
      <c r="K34" s="2993" t="n"/>
      <c r="L34" s="2993" t="n"/>
      <c r="M34" s="2993" t="n"/>
      <c r="N34" s="2993" t="n"/>
      <c r="O34" s="2994">
        <f>SUM(C34:N34)</f>
        <v/>
      </c>
    </row>
    <row customHeight="1" ht="15" r="35" s="1843" spans="1:39">
      <c r="B35" s="2992">
        <f>B10</f>
        <v/>
      </c>
      <c r="C35" s="2993" t="n"/>
      <c r="D35" s="2993" t="n"/>
      <c r="E35" s="2993" t="n"/>
      <c r="F35" s="2993" t="n"/>
      <c r="G35" s="2993" t="n"/>
      <c r="H35" s="2993" t="n"/>
      <c r="I35" s="2993" t="n"/>
      <c r="J35" s="2993" t="n"/>
      <c r="K35" s="2993" t="n"/>
      <c r="L35" s="2993" t="n"/>
      <c r="M35" s="2993" t="n"/>
      <c r="N35" s="2993" t="n"/>
      <c r="O35" s="2994">
        <f>SUM(C35:N35)</f>
        <v/>
      </c>
    </row>
    <row customHeight="1" ht="15" r="36" s="1843" spans="1:39">
      <c r="B36" s="2992">
        <f>B11</f>
        <v/>
      </c>
      <c r="C36" s="2993" t="n"/>
      <c r="D36" s="2993" t="n"/>
      <c r="E36" s="2993" t="n"/>
      <c r="F36" s="2993" t="n"/>
      <c r="G36" s="2993" t="n"/>
      <c r="H36" s="2993" t="n"/>
      <c r="I36" s="2993" t="n"/>
      <c r="J36" s="2993" t="n"/>
      <c r="K36" s="2993" t="n"/>
      <c r="L36" s="2993" t="n"/>
      <c r="M36" s="2993" t="n"/>
      <c r="N36" s="2993" t="n"/>
      <c r="O36" s="2994">
        <f>SUM(C36:N36)</f>
        <v/>
      </c>
    </row>
    <row customHeight="1" ht="15" r="37" s="1843" spans="1:39">
      <c r="B37" s="3000" t="s">
        <v>411</v>
      </c>
      <c r="C37" s="3001">
        <f>SUM(C34:C36)</f>
        <v/>
      </c>
      <c r="D37" s="3001">
        <f>SUM(D34:D36)</f>
        <v/>
      </c>
      <c r="E37" s="3001">
        <f>SUM(E34:E36)</f>
        <v/>
      </c>
      <c r="F37" s="3001">
        <f>SUM(F34:F36)</f>
        <v/>
      </c>
      <c r="G37" s="3001">
        <f>SUM(G34:G36)</f>
        <v/>
      </c>
      <c r="H37" s="3001">
        <f>SUM(H34:H36)</f>
        <v/>
      </c>
      <c r="I37" s="3001">
        <f>SUM(I34:I36)</f>
        <v/>
      </c>
      <c r="J37" s="3001">
        <f>SUM(J34:J36)</f>
        <v/>
      </c>
      <c r="K37" s="3001">
        <f>SUM(K34:K36)</f>
        <v/>
      </c>
      <c r="L37" s="3001">
        <f>SUM(L34:L36)</f>
        <v/>
      </c>
      <c r="M37" s="3001">
        <f>SUM(M34:M36)</f>
        <v/>
      </c>
      <c r="N37" s="3001">
        <f>SUM(N34:N36)</f>
        <v/>
      </c>
      <c r="O37" s="2981">
        <f>SUM(C37:N37)</f>
        <v/>
      </c>
    </row>
    <row customHeight="1" ht="15" r="38" s="1843" spans="1:39">
      <c r="B38" s="2992">
        <f>B13</f>
        <v/>
      </c>
      <c r="C38" s="2993" t="n"/>
      <c r="D38" s="2993" t="n"/>
      <c r="E38" s="2993" t="n"/>
      <c r="F38" s="2993" t="n"/>
      <c r="G38" s="2993" t="n"/>
      <c r="H38" s="2993" t="n"/>
      <c r="I38" s="2993" t="n"/>
      <c r="J38" s="2993" t="n"/>
      <c r="K38" s="2993" t="n"/>
      <c r="L38" s="2993" t="n"/>
      <c r="M38" s="2993" t="n"/>
      <c r="N38" s="2993" t="n"/>
      <c r="O38" s="2994">
        <f>SUM(C38:N38)</f>
        <v/>
      </c>
    </row>
    <row customHeight="1" ht="15" r="39" s="1843" spans="1:39">
      <c r="B39" s="2992">
        <f>B14</f>
        <v/>
      </c>
      <c r="C39" s="2993" t="n"/>
      <c r="D39" s="2993" t="n"/>
      <c r="E39" s="2993" t="n"/>
      <c r="F39" s="2993" t="n"/>
      <c r="G39" s="2993" t="n"/>
      <c r="H39" s="2993" t="n"/>
      <c r="I39" s="2993" t="n"/>
      <c r="J39" s="2993" t="n"/>
      <c r="K39" s="2993" t="n"/>
      <c r="L39" s="2993" t="n"/>
      <c r="M39" s="2993" t="n"/>
      <c r="N39" s="2993" t="n"/>
      <c r="O39" s="2994">
        <f>SUM(C39:N39)</f>
        <v/>
      </c>
    </row>
    <row customHeight="1" ht="15" r="40" s="1843" spans="1:39">
      <c r="B40" s="2992">
        <f>B15</f>
        <v/>
      </c>
      <c r="C40" s="2993" t="n"/>
      <c r="D40" s="2993" t="n"/>
      <c r="E40" s="2993" t="n"/>
      <c r="F40" s="2993" t="n"/>
      <c r="G40" s="2993" t="n"/>
      <c r="H40" s="2993" t="n"/>
      <c r="I40" s="2993" t="n"/>
      <c r="J40" s="2993" t="n"/>
      <c r="K40" s="2993" t="n"/>
      <c r="L40" s="2993" t="n"/>
      <c r="M40" s="2993" t="n"/>
      <c r="N40" s="2993" t="n"/>
      <c r="O40" s="2994">
        <f>SUM(C40:N40)</f>
        <v/>
      </c>
    </row>
    <row customHeight="1" ht="15" r="41" s="1843" spans="1:39">
      <c r="B41" s="2987" t="s">
        <v>413</v>
      </c>
      <c r="C41" s="3006">
        <f>SUM(C38:C40)</f>
        <v/>
      </c>
      <c r="D41" s="3006">
        <f>SUM(D38:D40)</f>
        <v/>
      </c>
      <c r="E41" s="3006">
        <f>SUM(E38:E40)</f>
        <v/>
      </c>
      <c r="F41" s="3006">
        <f>SUM(F38:F40)</f>
        <v/>
      </c>
      <c r="G41" s="3006">
        <f>SUM(G38:G40)</f>
        <v/>
      </c>
      <c r="H41" s="3006">
        <f>SUM(H38:H40)</f>
        <v/>
      </c>
      <c r="I41" s="3006">
        <f>SUM(I38:I40)</f>
        <v/>
      </c>
      <c r="J41" s="3006">
        <f>SUM(J38:J40)</f>
        <v/>
      </c>
      <c r="K41" s="3006">
        <f>SUM(K38:K40)</f>
        <v/>
      </c>
      <c r="L41" s="3006">
        <f>SUM(L38:L40)</f>
        <v/>
      </c>
      <c r="M41" s="3006">
        <f>SUM(M38:M40)</f>
        <v/>
      </c>
      <c r="N41" s="3006">
        <f>SUM(N38:N40)</f>
        <v/>
      </c>
      <c r="O41" s="3006">
        <f>SUM(C41:N41)</f>
        <v/>
      </c>
    </row>
    <row customHeight="1" ht="15" r="42" s="1843" spans="1:39">
      <c r="B42" s="2992">
        <f>B17</f>
        <v/>
      </c>
      <c r="C42" s="2980" t="n"/>
      <c r="D42" s="2980" t="n"/>
      <c r="E42" s="2980" t="n"/>
      <c r="F42" s="2980" t="n"/>
      <c r="G42" s="2980" t="n"/>
      <c r="H42" s="2980" t="n"/>
      <c r="I42" s="2980" t="n"/>
      <c r="J42" s="2980" t="n"/>
      <c r="K42" s="2980" t="n"/>
      <c r="L42" s="2980" t="n"/>
      <c r="M42" s="2980" t="n"/>
      <c r="N42" s="2980" t="n"/>
      <c r="O42" s="2981">
        <f>SUM(C42:N42)</f>
        <v/>
      </c>
    </row>
    <row customHeight="1" ht="15" r="43" s="1843" spans="1:39">
      <c r="B43" s="2992">
        <f>B18</f>
        <v/>
      </c>
      <c r="C43" s="2980" t="n"/>
      <c r="D43" s="2980" t="n"/>
      <c r="E43" s="2980" t="n"/>
      <c r="F43" s="2980" t="n"/>
      <c r="G43" s="2980" t="n"/>
      <c r="H43" s="2980" t="n"/>
      <c r="I43" s="2980" t="n"/>
      <c r="J43" s="2980" t="n"/>
      <c r="K43" s="2980" t="n"/>
      <c r="L43" s="2980" t="n"/>
      <c r="M43" s="2980" t="n"/>
      <c r="N43" s="2980" t="n"/>
      <c r="O43" s="2981">
        <f>SUM(C43:N43)</f>
        <v/>
      </c>
    </row>
    <row customHeight="1" ht="15" r="44" s="1843" spans="1:39">
      <c r="B44" s="2992">
        <f>B19</f>
        <v/>
      </c>
      <c r="C44" s="2980" t="n"/>
      <c r="D44" s="2980" t="n"/>
      <c r="E44" s="2980" t="n"/>
      <c r="F44" s="2980" t="n"/>
      <c r="G44" s="2980" t="n"/>
      <c r="H44" s="2980" t="n"/>
      <c r="I44" s="2980" t="n"/>
      <c r="J44" s="2980" t="n"/>
      <c r="K44" s="2980" t="n"/>
      <c r="L44" s="2980" t="n"/>
      <c r="M44" s="2980" t="n"/>
      <c r="N44" s="2980" t="n"/>
      <c r="O44" s="2981">
        <f>SUM(C44:N44)</f>
        <v/>
      </c>
    </row>
    <row customHeight="1" ht="15" r="45" s="1843" spans="1:39">
      <c r="B45" s="2987" t="s">
        <v>416</v>
      </c>
      <c r="C45" s="2981">
        <f>SUM(C42:C44)</f>
        <v/>
      </c>
      <c r="D45" s="2981">
        <f>SUM(D42:D44)</f>
        <v/>
      </c>
      <c r="E45" s="2981">
        <f>SUM(E42:E44)</f>
        <v/>
      </c>
      <c r="F45" s="2981">
        <f>SUM(F42:F44)</f>
        <v/>
      </c>
      <c r="G45" s="2981">
        <f>SUM(G42:G44)</f>
        <v/>
      </c>
      <c r="H45" s="2981">
        <f>SUM(H42:H44)</f>
        <v/>
      </c>
      <c r="I45" s="2981">
        <f>SUM(I42:I44)</f>
        <v/>
      </c>
      <c r="J45" s="2981">
        <f>SUM(J42:J44)</f>
        <v/>
      </c>
      <c r="K45" s="2981">
        <f>SUM(K42:K44)</f>
        <v/>
      </c>
      <c r="L45" s="2981">
        <f>SUM(L42:L44)</f>
        <v/>
      </c>
      <c r="M45" s="2981">
        <f>SUM(M42:M44)</f>
        <v/>
      </c>
      <c r="N45" s="2981">
        <f>SUM(N42:N44)</f>
        <v/>
      </c>
      <c r="O45" s="2981">
        <f>SUM(C45:N45)</f>
        <v/>
      </c>
    </row>
    <row customHeight="1" ht="15" r="46" s="1843" spans="1:39">
      <c r="B46" s="2992">
        <f>B21</f>
        <v/>
      </c>
      <c r="C46" s="2980" t="n"/>
      <c r="D46" s="2980" t="n"/>
      <c r="E46" s="2980" t="n"/>
      <c r="F46" s="2980" t="n"/>
      <c r="G46" s="2980" t="n"/>
      <c r="H46" s="2980" t="n"/>
      <c r="I46" s="2980" t="n"/>
      <c r="J46" s="2980" t="n"/>
      <c r="K46" s="2980" t="n"/>
      <c r="L46" s="2980" t="n"/>
      <c r="M46" s="2980" t="n"/>
      <c r="N46" s="2980" t="n"/>
      <c r="O46" s="2981">
        <f>SUM(C46:N46)</f>
        <v/>
      </c>
    </row>
    <row customHeight="1" ht="15" r="47" s="1843" spans="1:39">
      <c r="B47" s="2987" t="s">
        <v>417</v>
      </c>
      <c r="C47" s="2981">
        <f>SUM(C46:C46)</f>
        <v/>
      </c>
      <c r="D47" s="2981">
        <f>SUM(D46:D46)</f>
        <v/>
      </c>
      <c r="E47" s="2981">
        <f>SUM(E46:E46)</f>
        <v/>
      </c>
      <c r="F47" s="2981">
        <f>SUM(F46:F46)</f>
        <v/>
      </c>
      <c r="G47" s="2981">
        <f>SUM(G46:G46)</f>
        <v/>
      </c>
      <c r="H47" s="2981">
        <f>SUM(H46:H46)</f>
        <v/>
      </c>
      <c r="I47" s="2981">
        <f>SUM(I46:I46)</f>
        <v/>
      </c>
      <c r="J47" s="2981">
        <f>SUM(J46:J46)</f>
        <v/>
      </c>
      <c r="K47" s="2981">
        <f>SUM(K46:K46)</f>
        <v/>
      </c>
      <c r="L47" s="2981">
        <f>SUM(L46:L46)</f>
        <v/>
      </c>
      <c r="M47" s="2981">
        <f>SUM(M46:M46)</f>
        <v/>
      </c>
      <c r="N47" s="2981">
        <f>SUM(N46:N46)</f>
        <v/>
      </c>
      <c r="O47" s="2981">
        <f>SUM(O46:O46)</f>
        <v/>
      </c>
    </row>
    <row customHeight="1" ht="15" r="48" s="1843" spans="1:39">
      <c r="B48" s="3010" t="s">
        <v>418</v>
      </c>
      <c r="C48" s="3011">
        <f>SUM(C47,C45,C41,C37,C33)</f>
        <v/>
      </c>
      <c r="D48" s="3011">
        <f>SUM(D47,D45,D41,D37,D33)</f>
        <v/>
      </c>
      <c r="E48" s="3011">
        <f>SUM(E47,E45,E41,E37,E33)</f>
        <v/>
      </c>
      <c r="F48" s="3011">
        <f>SUM(F47,F45,F41,F37,F33)</f>
        <v/>
      </c>
      <c r="G48" s="3011">
        <f>SUM(G47,G45,G41,G37,G33)</f>
        <v/>
      </c>
      <c r="H48" s="3011">
        <f>SUM(H47,H45,H41,H37,H33)</f>
        <v/>
      </c>
      <c r="I48" s="3011">
        <f>SUM(I47,I45,I41,I37,I33)</f>
        <v/>
      </c>
      <c r="J48" s="3011">
        <f>SUM(J47,J45,J41,J37,J33)</f>
        <v/>
      </c>
      <c r="K48" s="3011">
        <f>SUM(K47,K45,K41,K37,K33)</f>
        <v/>
      </c>
      <c r="L48" s="3011">
        <f>SUM(L47,L45,L41,L37,L33)</f>
        <v/>
      </c>
      <c r="M48" s="3011">
        <f>SUM(M47,M45,M41,M37,M33)</f>
        <v/>
      </c>
      <c r="N48" s="3011">
        <f>SUM(N47,N45,N41,N37,N33)</f>
        <v/>
      </c>
      <c r="O48" s="3011">
        <f>SUM(C48:N48)</f>
        <v/>
      </c>
    </row>
    <row customHeight="1" ht="36.75" r="51" s="1843" spans="1:39">
      <c r="A51" s="2976" t="s">
        <v>175</v>
      </c>
      <c r="B51" s="2976" t="s">
        <v>421</v>
      </c>
      <c r="C51" s="2976" t="s">
        <v>62</v>
      </c>
      <c r="D51" s="2976" t="s">
        <v>63</v>
      </c>
      <c r="E51" s="2976" t="s">
        <v>64</v>
      </c>
      <c r="F51" s="2976" t="s">
        <v>174</v>
      </c>
      <c r="G51" s="2976" t="s">
        <v>66</v>
      </c>
      <c r="H51" s="2976" t="s">
        <v>67</v>
      </c>
      <c r="I51" s="2976" t="s">
        <v>69</v>
      </c>
      <c r="J51" s="2976" t="s">
        <v>70</v>
      </c>
      <c r="K51" s="2976" t="s">
        <v>71</v>
      </c>
      <c r="L51" s="2976" t="s">
        <v>72</v>
      </c>
      <c r="M51" s="2976" t="s">
        <v>73</v>
      </c>
      <c r="N51" s="2976" t="s">
        <v>74</v>
      </c>
      <c r="O51" s="2976" t="s">
        <v>55</v>
      </c>
      <c r="S51" s="2976" t="n"/>
      <c r="T51" s="2976" t="s">
        <v>398</v>
      </c>
      <c r="U51" s="2976" t="s">
        <v>62</v>
      </c>
      <c r="V51" s="2976" t="s">
        <v>63</v>
      </c>
      <c r="W51" s="2976" t="s">
        <v>64</v>
      </c>
      <c r="X51" s="2976" t="s">
        <v>174</v>
      </c>
      <c r="Y51" s="2976" t="s">
        <v>66</v>
      </c>
      <c r="Z51" s="2976" t="s">
        <v>67</v>
      </c>
      <c r="AA51" s="2976" t="s">
        <v>69</v>
      </c>
      <c r="AB51" s="2976" t="s">
        <v>70</v>
      </c>
      <c r="AC51" s="2976" t="s">
        <v>71</v>
      </c>
      <c r="AD51" s="2976" t="s">
        <v>72</v>
      </c>
      <c r="AE51" s="2976" t="s">
        <v>73</v>
      </c>
      <c r="AF51" s="2976" t="s">
        <v>74</v>
      </c>
      <c r="AG51" s="2976" t="s">
        <v>55</v>
      </c>
    </row>
    <row customHeight="1" ht="15" r="52" s="1843" spans="1:39">
      <c r="A52" s="1819" t="s">
        <v>54</v>
      </c>
      <c r="B52" s="2992">
        <f>B29</f>
        <v/>
      </c>
      <c r="C52" s="2993" t="n"/>
      <c r="D52" s="2993" t="n"/>
      <c r="E52" s="2993" t="n"/>
      <c r="F52" s="2993" t="n"/>
      <c r="G52" s="2993" t="n"/>
      <c r="H52" s="2993" t="n"/>
      <c r="I52" s="2993" t="n"/>
      <c r="J52" s="2993" t="n"/>
      <c r="K52" s="2993" t="n"/>
      <c r="L52" s="2993" t="n"/>
      <c r="M52" s="2993" t="n"/>
      <c r="N52" s="2993" t="n"/>
      <c r="O52" s="2994">
        <f>SUM(C52:N52)</f>
        <v/>
      </c>
      <c r="S52" s="1482" t="n"/>
      <c r="T52" s="2982" t="n"/>
      <c r="U52" s="3013" t="n"/>
      <c r="V52" s="3014" t="n"/>
      <c r="W52" s="2985" t="n"/>
      <c r="X52" s="2985" t="n"/>
      <c r="Y52" s="2985" t="n"/>
      <c r="Z52" s="2985" t="n"/>
      <c r="AA52" s="2985" t="n"/>
      <c r="AB52" s="2985" t="n"/>
      <c r="AC52" s="2985" t="n"/>
      <c r="AD52" s="2985" t="n"/>
      <c r="AE52" s="2985" t="n"/>
      <c r="AF52" s="2985" t="n"/>
      <c r="AG52" s="2986">
        <f>SUM(U52:AF52)</f>
        <v/>
      </c>
    </row>
    <row customHeight="1" ht="15" r="53" s="1843" spans="1:39">
      <c r="B53" s="2992">
        <f>B30</f>
        <v/>
      </c>
      <c r="C53" s="2993" t="n"/>
      <c r="D53" s="2993" t="n"/>
      <c r="E53" s="2993" t="n"/>
      <c r="F53" s="2993" t="n"/>
      <c r="G53" s="2993" t="n"/>
      <c r="H53" s="2993" t="n"/>
      <c r="I53" s="2993" t="n"/>
      <c r="J53" s="2993" t="n"/>
      <c r="K53" s="2993" t="n"/>
      <c r="L53" s="2993" t="n"/>
      <c r="M53" s="2993" t="n"/>
      <c r="N53" s="2993" t="n"/>
      <c r="O53" s="2994">
        <f>SUM(C53:N53)</f>
        <v/>
      </c>
      <c r="S53" s="1476" t="n"/>
      <c r="T53" s="2982" t="n"/>
      <c r="U53" s="3015" t="n"/>
      <c r="V53" s="3016" t="n"/>
      <c r="W53" s="2990" t="n"/>
      <c r="X53" s="2990" t="n"/>
      <c r="Y53" s="2990" t="n"/>
      <c r="Z53" s="2990" t="n"/>
      <c r="AA53" s="2990" t="n"/>
      <c r="AB53" s="2990" t="n"/>
      <c r="AC53" s="2990" t="n"/>
      <c r="AD53" s="2990" t="n"/>
      <c r="AE53" s="2990" t="n"/>
      <c r="AF53" s="2990" t="n"/>
      <c r="AG53" s="2986">
        <f>SUM(U53:AF53)</f>
        <v/>
      </c>
    </row>
    <row customHeight="1" ht="15" r="54" s="1843" spans="1:39">
      <c r="B54" s="2992">
        <f>B31</f>
        <v/>
      </c>
      <c r="C54" s="2993" t="n"/>
      <c r="D54" s="2993" t="n"/>
      <c r="E54" s="2993" t="n"/>
      <c r="F54" s="2993" t="n"/>
      <c r="G54" s="2993" t="n"/>
      <c r="H54" s="2993" t="n"/>
      <c r="I54" s="2993" t="n"/>
      <c r="J54" s="2993" t="n"/>
      <c r="K54" s="2993" t="n"/>
      <c r="L54" s="2993" t="n"/>
      <c r="M54" s="2993" t="n"/>
      <c r="N54" s="2993" t="n"/>
      <c r="O54" s="2994">
        <f>SUM(C54:N54)</f>
        <v/>
      </c>
      <c r="S54" s="1476" t="n"/>
      <c r="T54" s="2982" t="n"/>
      <c r="U54" s="3015" t="n"/>
      <c r="V54" s="3014" t="n"/>
      <c r="W54" s="2985" t="n"/>
      <c r="X54" s="2985" t="n"/>
      <c r="Y54" s="2985" t="n"/>
      <c r="Z54" s="2985" t="n"/>
      <c r="AA54" s="2985" t="n"/>
      <c r="AB54" s="2985" t="n"/>
      <c r="AC54" s="2985" t="n"/>
      <c r="AD54" s="2985" t="n"/>
      <c r="AE54" s="2985" t="n"/>
      <c r="AF54" s="2985" t="n"/>
      <c r="AG54" s="2986">
        <f>SUM(U54:AF54)</f>
        <v/>
      </c>
    </row>
    <row customHeight="1" ht="15" r="55" s="1843" spans="1:39">
      <c r="B55" s="2992">
        <f>B32</f>
        <v/>
      </c>
      <c r="C55" s="2993" t="n"/>
      <c r="D55" s="2993" t="n"/>
      <c r="E55" s="2993" t="n"/>
      <c r="F55" s="2993" t="n"/>
      <c r="G55" s="2993" t="n"/>
      <c r="H55" s="2993" t="n"/>
      <c r="I55" s="2993" t="n"/>
      <c r="J55" s="2993" t="n"/>
      <c r="K55" s="2993" t="n"/>
      <c r="L55" s="2993" t="n"/>
      <c r="M55" s="2993" t="n"/>
      <c r="N55" s="2993" t="n"/>
      <c r="O55" s="2994">
        <f>SUM(C55:N55)</f>
        <v/>
      </c>
      <c r="S55" s="1476" t="n"/>
      <c r="T55" s="2982" t="n"/>
      <c r="U55" s="3015" t="n"/>
      <c r="V55" s="3014" t="n"/>
      <c r="W55" s="2985" t="n"/>
      <c r="X55" s="2985" t="n"/>
      <c r="Y55" s="2985" t="n"/>
      <c r="Z55" s="2985" t="n"/>
      <c r="AA55" s="2985" t="n"/>
      <c r="AB55" s="2985" t="n"/>
      <c r="AC55" s="2985" t="n"/>
      <c r="AD55" s="2985" t="n"/>
      <c r="AE55" s="2985" t="n"/>
      <c r="AF55" s="2985" t="n"/>
      <c r="AG55" s="2986">
        <f>SUM(U55:AF55)</f>
        <v/>
      </c>
    </row>
    <row customHeight="1" ht="15" r="56" s="1843" spans="1:39">
      <c r="B56" s="3000" t="s">
        <v>406</v>
      </c>
      <c r="C56" s="3001">
        <f>SUM(C52:C55)</f>
        <v/>
      </c>
      <c r="D56" s="3001">
        <f>SUM(D52:D55)</f>
        <v/>
      </c>
      <c r="E56" s="3001">
        <f>SUM(E52:E55)</f>
        <v/>
      </c>
      <c r="F56" s="3001">
        <f>SUM(F52:F55)</f>
        <v/>
      </c>
      <c r="G56" s="3001">
        <f>SUM(G52:G55)</f>
        <v/>
      </c>
      <c r="H56" s="3001">
        <f>SUM(H52:H55)</f>
        <v/>
      </c>
      <c r="I56" s="3001">
        <f>SUM(I52:I55)</f>
        <v/>
      </c>
      <c r="J56" s="3001">
        <f>SUM(J52:J55)</f>
        <v/>
      </c>
      <c r="K56" s="3001">
        <f>SUM(K52:K55)</f>
        <v/>
      </c>
      <c r="L56" s="3001">
        <f>SUM(L52:L55)</f>
        <v/>
      </c>
      <c r="M56" s="3001">
        <f>SUM(M52:M55)</f>
        <v/>
      </c>
      <c r="N56" s="3001">
        <f>SUM(N52:N55)</f>
        <v/>
      </c>
      <c r="O56" s="2981">
        <f>SUM(C56:N56)</f>
        <v/>
      </c>
      <c r="S56" s="1476" t="n"/>
      <c r="T56" s="2982" t="n"/>
      <c r="U56" s="3015" t="n"/>
      <c r="V56" s="3014" t="n"/>
      <c r="W56" s="2985" t="n"/>
      <c r="X56" s="2985" t="n"/>
      <c r="Y56" s="2985" t="n"/>
      <c r="Z56" s="2985" t="n"/>
      <c r="AA56" s="2985" t="n"/>
      <c r="AB56" s="2985" t="n"/>
      <c r="AC56" s="2985" t="n"/>
      <c r="AD56" s="2985" t="n"/>
      <c r="AE56" s="2985" t="n"/>
      <c r="AF56" s="2985" t="n"/>
      <c r="AG56" s="2986">
        <f>SUM(U56:AF56)</f>
        <v/>
      </c>
    </row>
    <row customHeight="1" ht="15" r="57" s="1843" spans="1:39">
      <c r="B57" s="2992">
        <f>B34</f>
        <v/>
      </c>
      <c r="C57" s="3017">
        <f>13109.44+11174</f>
        <v/>
      </c>
      <c r="D57" s="2993" t="n"/>
      <c r="E57" s="2993" t="n"/>
      <c r="F57" s="2993" t="n">
        <v>17339.81</v>
      </c>
      <c r="G57" s="2993" t="n"/>
      <c r="H57" s="2993" t="n"/>
      <c r="I57" s="2993" t="n"/>
      <c r="J57" s="2993" t="n"/>
      <c r="K57" s="2993" t="n"/>
      <c r="L57" s="2993" t="n"/>
      <c r="M57" s="2993" t="n"/>
      <c r="N57" s="2993" t="n"/>
      <c r="O57" s="2994">
        <f>SUM(C57:N57)</f>
        <v/>
      </c>
      <c r="S57" s="1476" t="n"/>
      <c r="T57" s="2982" t="s">
        <v>422</v>
      </c>
      <c r="U57" s="3015" t="n">
        <v>30430.12</v>
      </c>
      <c r="V57" s="3014" t="n"/>
      <c r="W57" s="2985" t="n"/>
      <c r="X57" s="2985" t="n"/>
      <c r="Y57" s="2985" t="n"/>
      <c r="Z57" s="2985" t="n"/>
      <c r="AA57" s="2985" t="n"/>
      <c r="AB57" s="2985" t="n"/>
      <c r="AC57" s="2985" t="n"/>
      <c r="AD57" s="2985" t="n"/>
      <c r="AE57" s="2985" t="n"/>
      <c r="AF57" s="2985" t="n"/>
      <c r="AG57" s="2986">
        <f>SUM(U57:AF57)</f>
        <v/>
      </c>
    </row>
    <row customHeight="1" ht="15" r="58" s="1843" spans="1:39">
      <c r="B58" s="2992">
        <f>B35</f>
        <v/>
      </c>
      <c r="C58" s="2993" t="n"/>
      <c r="D58" s="2993" t="n"/>
      <c r="E58" s="2993" t="n"/>
      <c r="F58" s="2993" t="n"/>
      <c r="G58" s="2993" t="n"/>
      <c r="H58" s="2993" t="n"/>
      <c r="I58" s="2993" t="n"/>
      <c r="J58" s="2993" t="n"/>
      <c r="K58" s="2993" t="n"/>
      <c r="L58" s="2993" t="n"/>
      <c r="M58" s="2993" t="n"/>
      <c r="N58" s="2993" t="n"/>
      <c r="O58" s="2994">
        <f>SUM(C58:N58)</f>
        <v/>
      </c>
      <c r="S58" s="1476" t="n"/>
      <c r="T58" s="2982" t="s">
        <v>423</v>
      </c>
      <c r="U58" s="3015" t="n">
        <v>11174.3</v>
      </c>
      <c r="V58" s="3014" t="n"/>
      <c r="W58" s="2985" t="n"/>
      <c r="X58" s="2985" t="n"/>
      <c r="Y58" s="2985" t="n"/>
      <c r="Z58" s="2985" t="n"/>
      <c r="AA58" s="2985" t="n"/>
      <c r="AB58" s="2985" t="n"/>
      <c r="AC58" s="2985" t="n"/>
      <c r="AD58" s="2985" t="n"/>
      <c r="AE58" s="2985" t="n"/>
      <c r="AF58" s="2985" t="n"/>
      <c r="AG58" s="2986">
        <f>SUM(U58:AF58)</f>
        <v/>
      </c>
    </row>
    <row customHeight="1" ht="15" r="59" s="1843" spans="1:39">
      <c r="B59" s="2992">
        <f>B36</f>
        <v/>
      </c>
      <c r="C59" s="2993" t="n"/>
      <c r="D59" s="2993" t="n"/>
      <c r="E59" s="2993" t="n"/>
      <c r="F59" s="2993" t="n"/>
      <c r="G59" s="2993" t="n"/>
      <c r="H59" s="2993" t="n"/>
      <c r="I59" s="2993" t="n"/>
      <c r="J59" s="2993" t="n"/>
      <c r="K59" s="2993" t="n"/>
      <c r="L59" s="2993" t="n"/>
      <c r="M59" s="2993" t="n"/>
      <c r="N59" s="2993" t="n"/>
      <c r="O59" s="2994">
        <f>SUM(C59:N59)</f>
        <v/>
      </c>
      <c r="S59" s="1476" t="n"/>
      <c r="T59" s="2982" t="n"/>
      <c r="U59" s="3015" t="n"/>
      <c r="V59" s="3016" t="n"/>
      <c r="W59" s="2990" t="n"/>
      <c r="X59" s="2990" t="n"/>
      <c r="Y59" s="2990" t="n"/>
      <c r="Z59" s="2990" t="n"/>
      <c r="AA59" s="2990" t="n"/>
      <c r="AB59" s="2990" t="n"/>
      <c r="AC59" s="2990" t="n"/>
      <c r="AD59" s="2990" t="n"/>
      <c r="AE59" s="2990" t="n"/>
      <c r="AF59" s="2990" t="n"/>
      <c r="AG59" s="2986">
        <f>SUM(U59:AF59)</f>
        <v/>
      </c>
    </row>
    <row customHeight="1" ht="15" r="60" s="1843" spans="1:39">
      <c r="B60" s="3000" t="s">
        <v>411</v>
      </c>
      <c r="C60" s="3001">
        <f>SUM(C57:C59)</f>
        <v/>
      </c>
      <c r="D60" s="3001">
        <f>SUM(D57:D59)</f>
        <v/>
      </c>
      <c r="E60" s="3001">
        <f>SUM(E57:E59)</f>
        <v/>
      </c>
      <c r="F60" s="3001">
        <f>SUM(F57:F59)</f>
        <v/>
      </c>
      <c r="G60" s="3001">
        <f>SUM(G57:G59)</f>
        <v/>
      </c>
      <c r="H60" s="3001">
        <f>SUM(H57:H59)</f>
        <v/>
      </c>
      <c r="I60" s="3001">
        <f>SUM(I57:I59)</f>
        <v/>
      </c>
      <c r="J60" s="3001">
        <f>SUM(J57:J59)</f>
        <v/>
      </c>
      <c r="K60" s="3001">
        <f>SUM(K57:K59)</f>
        <v/>
      </c>
      <c r="L60" s="3001">
        <f>SUM(L57:L59)</f>
        <v/>
      </c>
      <c r="M60" s="3001">
        <f>SUM(M57:M59)</f>
        <v/>
      </c>
      <c r="N60" s="3001">
        <f>SUM(N57:N59)</f>
        <v/>
      </c>
      <c r="O60" s="2981">
        <f>SUM(C60:N60)</f>
        <v/>
      </c>
      <c r="S60" s="1476" t="n"/>
      <c r="T60" s="2982" t="n"/>
      <c r="U60" s="3015" t="n"/>
      <c r="V60" s="3014" t="n"/>
      <c r="W60" s="2985" t="n"/>
      <c r="X60" s="2985" t="n"/>
      <c r="Y60" s="2985" t="n"/>
      <c r="Z60" s="2985" t="n"/>
      <c r="AA60" s="2985" t="n"/>
      <c r="AB60" s="2985" t="n"/>
      <c r="AC60" s="2985" t="n"/>
      <c r="AD60" s="2985" t="n"/>
      <c r="AE60" s="2985" t="n"/>
      <c r="AF60" s="2985" t="n"/>
      <c r="AG60" s="2986">
        <f>SUM(U60:AF60)</f>
        <v/>
      </c>
    </row>
    <row customHeight="1" ht="15" r="61" s="1843" spans="1:39">
      <c r="B61" s="2992">
        <f>B38</f>
        <v/>
      </c>
      <c r="C61" s="2993" t="n"/>
      <c r="D61" s="2993" t="n"/>
      <c r="E61" s="2993" t="n"/>
      <c r="F61" s="2993" t="n"/>
      <c r="G61" s="2993" t="n"/>
      <c r="H61" s="2993" t="n"/>
      <c r="I61" s="2993" t="n"/>
      <c r="J61" s="2993" t="n"/>
      <c r="K61" s="2993" t="n"/>
      <c r="L61" s="2993" t="n"/>
      <c r="M61" s="2993" t="n"/>
      <c r="N61" s="2993" t="n"/>
      <c r="O61" s="2994">
        <f>SUM(C61:N61)</f>
        <v/>
      </c>
      <c r="S61" s="1476" t="n"/>
      <c r="T61" s="2982" t="n"/>
      <c r="U61" s="3015" t="n"/>
      <c r="V61" s="3014" t="n"/>
      <c r="W61" s="2985" t="n"/>
      <c r="X61" s="2985" t="n"/>
      <c r="Y61" s="2985" t="n"/>
      <c r="Z61" s="2985" t="n"/>
      <c r="AA61" s="2985" t="n"/>
      <c r="AB61" s="2985" t="n"/>
      <c r="AC61" s="2985" t="n"/>
      <c r="AD61" s="2985" t="n"/>
      <c r="AE61" s="2985" t="n"/>
      <c r="AF61" s="2985" t="n"/>
      <c r="AG61" s="2986">
        <f>SUM(U61:AF61)</f>
        <v/>
      </c>
    </row>
    <row customHeight="1" ht="15" r="62" s="1843" spans="1:39">
      <c r="B62" s="2992">
        <f>B39</f>
        <v/>
      </c>
      <c r="C62" s="2993" t="n"/>
      <c r="D62" s="2993" t="n"/>
      <c r="E62" s="2993" t="n"/>
      <c r="F62" s="2993" t="n"/>
      <c r="G62" s="2993" t="n"/>
      <c r="H62" s="2993" t="n"/>
      <c r="I62" s="2993" t="n"/>
      <c r="J62" s="2993" t="n"/>
      <c r="K62" s="2993" t="n"/>
      <c r="L62" s="2993" t="n"/>
      <c r="M62" s="2993" t="n"/>
      <c r="N62" s="2993" t="n"/>
      <c r="O62" s="2994">
        <f>SUM(C62:N62)</f>
        <v/>
      </c>
      <c r="S62" s="1476" t="n"/>
      <c r="T62" s="2982" t="n"/>
      <c r="U62" s="3015" t="n"/>
      <c r="V62" s="3014" t="n"/>
      <c r="W62" s="2985" t="n"/>
      <c r="X62" s="2985" t="n"/>
      <c r="Y62" s="2985" t="n"/>
      <c r="Z62" s="2985" t="n"/>
      <c r="AA62" s="2985" t="n"/>
      <c r="AB62" s="2985" t="n"/>
      <c r="AC62" s="2985" t="n"/>
      <c r="AD62" s="2985" t="n"/>
      <c r="AE62" s="2985" t="n"/>
      <c r="AF62" s="2985" t="n"/>
      <c r="AG62" s="2986">
        <f>SUM(U62:AF62)</f>
        <v/>
      </c>
    </row>
    <row customHeight="1" ht="15" r="63" s="1843" spans="1:39">
      <c r="B63" s="2992">
        <f>B40</f>
        <v/>
      </c>
      <c r="C63" s="2993" t="n"/>
      <c r="D63" s="2993" t="n"/>
      <c r="E63" s="2993" t="n"/>
      <c r="F63" s="2993" t="n"/>
      <c r="G63" s="2993" t="n"/>
      <c r="H63" s="2993" t="n"/>
      <c r="I63" s="2993" t="n"/>
      <c r="J63" s="2993" t="n"/>
      <c r="K63" s="2993" t="n"/>
      <c r="L63" s="2993" t="n"/>
      <c r="M63" s="2993" t="n"/>
      <c r="N63" s="2993" t="n"/>
      <c r="O63" s="2994">
        <f>SUM(C63:N63)</f>
        <v/>
      </c>
      <c r="S63" s="1476" t="n"/>
      <c r="T63" s="3003" t="n"/>
      <c r="U63" s="3013" t="n"/>
      <c r="V63" s="3014" t="n"/>
      <c r="W63" s="2985" t="n"/>
      <c r="X63" s="2985" t="n"/>
      <c r="Y63" s="2985" t="n"/>
      <c r="Z63" s="2985" t="n"/>
      <c r="AA63" s="2985" t="n"/>
      <c r="AB63" s="2985" t="n"/>
      <c r="AC63" s="2985" t="n"/>
      <c r="AD63" s="2985" t="n"/>
      <c r="AE63" s="2985" t="n"/>
      <c r="AF63" s="2985" t="n"/>
      <c r="AG63" s="3004">
        <f>SUM(U63:AF63)</f>
        <v/>
      </c>
    </row>
    <row customHeight="1" ht="15" r="64" s="1843" spans="1:39">
      <c r="B64" s="2987" t="s">
        <v>413</v>
      </c>
      <c r="C64" s="3006">
        <f>SUM(C61:C63)</f>
        <v/>
      </c>
      <c r="D64" s="3006">
        <f>SUM(D61:D63)</f>
        <v/>
      </c>
      <c r="E64" s="3006">
        <f>SUM(E61:E63)</f>
        <v/>
      </c>
      <c r="F64" s="3006">
        <f>SUM(F61:F63)</f>
        <v/>
      </c>
      <c r="G64" s="3006">
        <f>SUM(G61:G63)</f>
        <v/>
      </c>
      <c r="H64" s="3006">
        <f>SUM(H61:H63)</f>
        <v/>
      </c>
      <c r="I64" s="3006">
        <f>SUM(I61:I63)</f>
        <v/>
      </c>
      <c r="J64" s="3006">
        <f>SUM(J61:J63)</f>
        <v/>
      </c>
      <c r="K64" s="3006">
        <f>SUM(K61:K63)</f>
        <v/>
      </c>
      <c r="L64" s="3006">
        <f>SUM(L61:L63)</f>
        <v/>
      </c>
      <c r="M64" s="3006">
        <f>SUM(M61:M63)</f>
        <v/>
      </c>
      <c r="N64" s="3006">
        <f>SUM(N61:N63)</f>
        <v/>
      </c>
      <c r="O64" s="3006">
        <f>SUM(C64:N64)</f>
        <v/>
      </c>
      <c r="S64" s="1476" t="n"/>
      <c r="T64" s="3003" t="n"/>
      <c r="U64" s="3015" t="n"/>
      <c r="V64" s="3014" t="n"/>
      <c r="W64" s="2985" t="n"/>
      <c r="X64" s="2985" t="n"/>
      <c r="Y64" s="2985" t="n"/>
      <c r="Z64" s="2985" t="n"/>
      <c r="AA64" s="2985" t="n"/>
      <c r="AB64" s="2985" t="n"/>
      <c r="AC64" s="2985" t="n"/>
      <c r="AD64" s="2985" t="n"/>
      <c r="AE64" s="2985" t="n"/>
      <c r="AF64" s="2985" t="n"/>
      <c r="AG64" s="3004">
        <f>SUM(U64:AF64)</f>
        <v/>
      </c>
    </row>
    <row customHeight="1" ht="15" r="65" s="1843" spans="1:39">
      <c r="B65" s="2992">
        <f>B42</f>
        <v/>
      </c>
      <c r="C65" s="3017" t="n">
        <v>17911</v>
      </c>
      <c r="D65" s="3017" t="n">
        <v>10700</v>
      </c>
      <c r="E65" s="3017" t="n"/>
      <c r="F65" s="2980" t="n">
        <v>10449.345</v>
      </c>
      <c r="G65" s="2980" t="n"/>
      <c r="H65" s="2980" t="n"/>
      <c r="I65" s="2980" t="n"/>
      <c r="J65" s="2980" t="n"/>
      <c r="K65" s="2980" t="n"/>
      <c r="L65" s="2980" t="n"/>
      <c r="M65" s="2980" t="n"/>
      <c r="N65" s="2980" t="n"/>
      <c r="O65" s="2981">
        <f>SUM(C65:N65)</f>
        <v/>
      </c>
      <c r="S65" s="1476" t="n"/>
      <c r="T65" s="3003" t="n"/>
      <c r="U65" s="3015" t="n"/>
      <c r="V65" s="3014" t="n"/>
      <c r="W65" s="3005" t="n"/>
      <c r="X65" s="3005" t="n"/>
      <c r="Y65" s="3005" t="n"/>
      <c r="Z65" s="3005" t="n"/>
      <c r="AA65" s="3005" t="n"/>
      <c r="AB65" s="3005" t="n"/>
      <c r="AC65" s="3005" t="n"/>
      <c r="AD65" s="3005" t="n"/>
      <c r="AE65" s="3005" t="n"/>
      <c r="AF65" s="3005" t="n"/>
      <c r="AG65" s="3004">
        <f>SUM(U65:AF65)</f>
        <v/>
      </c>
    </row>
    <row customHeight="1" ht="15" r="66" s="1843" spans="1:39">
      <c r="B66" s="2992">
        <f>B43</f>
        <v/>
      </c>
      <c r="C66" s="3017" t="n"/>
      <c r="D66" s="3017" t="n"/>
      <c r="E66" s="3017" t="n"/>
      <c r="F66" s="2980" t="n">
        <v>10449.345</v>
      </c>
      <c r="G66" s="2980" t="n"/>
      <c r="H66" s="2980" t="n"/>
      <c r="I66" s="2980" t="n"/>
      <c r="J66" s="2980" t="n"/>
      <c r="K66" s="2980" t="n"/>
      <c r="L66" s="2980" t="n"/>
      <c r="M66" s="2980" t="n"/>
      <c r="N66" s="2980" t="n"/>
      <c r="O66" s="2981">
        <f>SUM(C66:N66)</f>
        <v/>
      </c>
      <c r="S66" s="1476" t="n"/>
      <c r="T66" s="3003" t="n"/>
      <c r="U66" s="3015" t="n"/>
      <c r="V66" s="3014" t="n"/>
      <c r="W66" s="3005" t="n"/>
      <c r="X66" s="3005" t="n"/>
      <c r="Y66" s="3005" t="n"/>
      <c r="Z66" s="3005" t="n"/>
      <c r="AA66" s="3005" t="n"/>
      <c r="AB66" s="3005" t="n"/>
      <c r="AC66" s="3005" t="n"/>
      <c r="AD66" s="3005" t="n"/>
      <c r="AE66" s="3005" t="n"/>
      <c r="AF66" s="3005" t="n"/>
      <c r="AG66" s="3004">
        <f>SUM(U66:AF66)</f>
        <v/>
      </c>
    </row>
    <row customHeight="1" ht="15" r="67" s="1843" spans="1:39">
      <c r="B67" s="2992">
        <f>B44</f>
        <v/>
      </c>
      <c r="C67" s="3017" t="n"/>
      <c r="D67" s="3017" t="n">
        <v>2000</v>
      </c>
      <c r="E67" s="3017" t="n">
        <v>2000</v>
      </c>
      <c r="G67" s="2980" t="n"/>
      <c r="H67" s="2980" t="n"/>
      <c r="I67" s="2980" t="n"/>
      <c r="J67" s="2980" t="n"/>
      <c r="K67" s="2980" t="n"/>
      <c r="L67" s="2980" t="n"/>
      <c r="M67" s="2980" t="n"/>
      <c r="N67" s="2980" t="n"/>
      <c r="O67" s="2981">
        <f>SUM(C67:N67)</f>
        <v/>
      </c>
      <c r="S67" s="1476" t="n"/>
      <c r="T67" s="3003" t="n"/>
      <c r="U67" s="3015" t="n"/>
      <c r="V67" s="3014" t="n"/>
      <c r="W67" s="3005" t="n"/>
      <c r="X67" s="3005" t="n"/>
      <c r="Y67" s="3005" t="n"/>
      <c r="Z67" s="3005" t="n"/>
      <c r="AA67" s="3005" t="n"/>
      <c r="AB67" s="3005" t="n"/>
      <c r="AC67" s="3005" t="n"/>
      <c r="AD67" s="3005" t="n"/>
      <c r="AE67" s="3005" t="n"/>
      <c r="AF67" s="3005" t="n"/>
      <c r="AG67" s="3004">
        <f>SUM(U67:AF67)</f>
        <v/>
      </c>
    </row>
    <row customHeight="1" ht="15" r="68" s="1843" spans="1:39">
      <c r="B68" s="2987" t="s">
        <v>416</v>
      </c>
      <c r="C68" s="2981">
        <f>SUM(C65:C67)</f>
        <v/>
      </c>
      <c r="D68" s="2981">
        <f>SUM(D65:D67)</f>
        <v/>
      </c>
      <c r="E68" s="2981">
        <f>SUM(E65:E67)</f>
        <v/>
      </c>
      <c r="F68" s="2981">
        <f>SUM(F65:F66)</f>
        <v/>
      </c>
      <c r="G68" s="2981">
        <f>SUM(G65:G67)</f>
        <v/>
      </c>
      <c r="H68" s="2981">
        <f>SUM(H65:H67)</f>
        <v/>
      </c>
      <c r="I68" s="2981">
        <f>SUM(I65:I67)</f>
        <v/>
      </c>
      <c r="J68" s="2981">
        <f>SUM(J65:J67)</f>
        <v/>
      </c>
      <c r="K68" s="2981">
        <f>SUM(K65:K67)</f>
        <v/>
      </c>
      <c r="L68" s="2981">
        <f>SUM(L65:L67)</f>
        <v/>
      </c>
      <c r="M68" s="2981">
        <f>SUM(M65:M67)</f>
        <v/>
      </c>
      <c r="N68" s="2981">
        <f>SUM(N65:N67)</f>
        <v/>
      </c>
      <c r="O68" s="2981">
        <f>SUM(C68:N68)</f>
        <v/>
      </c>
      <c r="S68" s="1480" t="n"/>
      <c r="T68" s="1470" t="s">
        <v>415</v>
      </c>
      <c r="U68" s="3007">
        <f>SUM(U52:U67)</f>
        <v/>
      </c>
      <c r="V68" s="3007">
        <f>SUM(V52:V67)</f>
        <v/>
      </c>
      <c r="W68" s="3007">
        <f>SUM(W52:W67)</f>
        <v/>
      </c>
      <c r="X68" s="3007">
        <f>SUM(X52:X67)</f>
        <v/>
      </c>
      <c r="Y68" s="3007">
        <f>SUM(Y52:Y67)</f>
        <v/>
      </c>
      <c r="Z68" s="3007">
        <f>SUM(Z52:Z67)</f>
        <v/>
      </c>
      <c r="AA68" s="3007">
        <f>SUM(AA52:AA67)</f>
        <v/>
      </c>
      <c r="AB68" s="3007">
        <f>SUM(AB52:AB67)</f>
        <v/>
      </c>
      <c r="AC68" s="3007">
        <f>SUM(AC52:AC67)</f>
        <v/>
      </c>
      <c r="AD68" s="3007">
        <f>SUM(AD52:AD67)</f>
        <v/>
      </c>
      <c r="AE68" s="3007">
        <f>SUM(AE52:AE67)</f>
        <v/>
      </c>
      <c r="AF68" s="3007">
        <f>SUM(AF52:AF67)</f>
        <v/>
      </c>
      <c r="AG68" s="3007">
        <f>SUM(AG52:AG67)</f>
        <v/>
      </c>
    </row>
    <row customHeight="1" ht="15" r="69" s="1843" spans="1:39">
      <c r="B69" s="2992">
        <f>B46</f>
        <v/>
      </c>
      <c r="C69" s="2980" t="n"/>
      <c r="D69" s="2980" t="n"/>
      <c r="E69" s="2980" t="n"/>
      <c r="F69" s="2980" t="n"/>
      <c r="G69" s="2980" t="n"/>
      <c r="H69" s="2980" t="n"/>
      <c r="I69" s="2980" t="n"/>
      <c r="J69" s="2980" t="n"/>
      <c r="K69" s="2980" t="n"/>
      <c r="L69" s="2980" t="n"/>
      <c r="M69" s="2980" t="n"/>
      <c r="N69" s="2980" t="n"/>
      <c r="O69" s="2981">
        <f>SUM(C69:N69)</f>
        <v/>
      </c>
    </row>
    <row customHeight="1" ht="15" r="70" s="1843" spans="1:39">
      <c r="B70" s="2987" t="s">
        <v>417</v>
      </c>
      <c r="C70" s="2981">
        <f>SUM(C69:C69)</f>
        <v/>
      </c>
      <c r="D70" s="2981">
        <f>SUM(D69:D69)</f>
        <v/>
      </c>
      <c r="E70" s="2981">
        <f>SUM(E69:E69)</f>
        <v/>
      </c>
      <c r="F70" s="2981">
        <f>SUM(F69:F69)</f>
        <v/>
      </c>
      <c r="G70" s="2981">
        <f>SUM(G69:G69)</f>
        <v/>
      </c>
      <c r="H70" s="2981">
        <f>SUM(H69:H69)</f>
        <v/>
      </c>
      <c r="I70" s="2981">
        <f>SUM(I69:I69)</f>
        <v/>
      </c>
      <c r="J70" s="2981">
        <f>SUM(J69:J69)</f>
        <v/>
      </c>
      <c r="K70" s="2981">
        <f>SUM(K69:K69)</f>
        <v/>
      </c>
      <c r="L70" s="2981">
        <f>SUM(L69:L69)</f>
        <v/>
      </c>
      <c r="M70" s="2981">
        <f>SUM(M69:M69)</f>
        <v/>
      </c>
      <c r="N70" s="2981">
        <f>SUM(N69:N69)</f>
        <v/>
      </c>
      <c r="O70" s="2981">
        <f>SUM(O69:O69)</f>
        <v/>
      </c>
    </row>
    <row customHeight="1" ht="15" r="71" s="1843" spans="1:39">
      <c r="B71" s="3010" t="s">
        <v>418</v>
      </c>
      <c r="C71" s="3011">
        <f>SUM(C70,C68,C64,C60,C56)</f>
        <v/>
      </c>
      <c r="D71" s="3011">
        <f>SUM(D70,D68,D64,D60,D56)</f>
        <v/>
      </c>
      <c r="E71" s="3011">
        <f>SUM(E70,E68,E64,E60,E56)</f>
        <v/>
      </c>
      <c r="F71" s="3011">
        <f>SUM(F70,F68,F64,F60,F56)</f>
        <v/>
      </c>
      <c r="G71" s="3011">
        <f>SUM(G70,G68,G64,G60,G56)</f>
        <v/>
      </c>
      <c r="H71" s="3011">
        <f>SUM(H70,H68,H64,H60,H56)</f>
        <v/>
      </c>
      <c r="I71" s="3011">
        <f>SUM(I70,I68,I64,I60,I56)</f>
        <v/>
      </c>
      <c r="J71" s="3011">
        <f>SUM(J70,J68,J64,J60,J56)</f>
        <v/>
      </c>
      <c r="K71" s="3011">
        <f>SUM(K70,K68,K64,K60,K56)</f>
        <v/>
      </c>
      <c r="L71" s="3011">
        <f>SUM(L70,L68,L64,L60,L56)</f>
        <v/>
      </c>
      <c r="M71" s="3011">
        <f>SUM(M70,M68,M64,M60,M56)</f>
        <v/>
      </c>
      <c r="N71" s="3011">
        <f>SUM(N70,N68,N64,N60,N56)</f>
        <v/>
      </c>
      <c r="O71" s="3011">
        <f>SUM(C71:N71)</f>
        <v/>
      </c>
    </row>
  </sheetData>
  <mergeCells count="3">
    <mergeCell ref="A2:A25"/>
    <mergeCell ref="A29:A48"/>
    <mergeCell ref="A52:A71"/>
  </mergeCells>
  <pageMargins bottom="0.75" footer="0.3" header="0.3" left="0.7" right="0.7" top="0.75"/>
  <pageSetup orientation="portrait" paperSize="9"/>
  <legacyDrawing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C2:E19"/>
  <sheetViews>
    <sheetView workbookViewId="0">
      <selection activeCell="C10" sqref="C10"/>
    </sheetView>
  </sheetViews>
  <sheetFormatPr baseColWidth="8" defaultRowHeight="13.5" outlineLevelCol="0"/>
  <cols>
    <col customWidth="1" max="4" min="4" style="1843" width="38.625"/>
    <col customWidth="1" max="7" min="7" style="1843" width="22.5"/>
  </cols>
  <sheetData>
    <row r="2" spans="1:5">
      <c r="D2" s="3018" t="n"/>
      <c r="E2" s="3019" t="s">
        <v>424</v>
      </c>
    </row>
    <row r="3" spans="1:5">
      <c r="C3" t="n">
        <v>1</v>
      </c>
      <c r="D3" s="3020" t="s">
        <v>425</v>
      </c>
      <c r="E3" s="3019" t="s">
        <v>426</v>
      </c>
    </row>
    <row r="4" spans="1:5">
      <c r="E4" s="3021" t="s">
        <v>427</v>
      </c>
    </row>
    <row r="5" spans="1:5">
      <c r="E5" s="3021" t="s">
        <v>428</v>
      </c>
    </row>
    <row r="6" spans="1:5">
      <c r="C6" t="n">
        <v>2</v>
      </c>
      <c r="D6" s="3022" t="s">
        <v>429</v>
      </c>
      <c r="E6" s="3021" t="s">
        <v>430</v>
      </c>
    </row>
    <row r="7" spans="1:5">
      <c r="E7" s="3021" t="s">
        <v>431</v>
      </c>
    </row>
    <row r="8" spans="1:5">
      <c r="E8" s="3021" t="s">
        <v>432</v>
      </c>
    </row>
    <row r="9" spans="1:5">
      <c r="C9" t="n">
        <v>3</v>
      </c>
      <c r="D9" s="3023" t="s">
        <v>433</v>
      </c>
      <c r="E9" s="3021" t="n"/>
    </row>
    <row r="10" spans="1:5">
      <c r="C10" t="n">
        <v>4</v>
      </c>
      <c r="D10" s="3023" t="s">
        <v>434</v>
      </c>
      <c r="E10" s="3024" t="s">
        <v>435</v>
      </c>
    </row>
    <row r="11" spans="1:5">
      <c r="C11" t="n">
        <v>5</v>
      </c>
      <c r="D11" s="3023" t="s">
        <v>436</v>
      </c>
      <c r="E11" s="3025" t="s">
        <v>437</v>
      </c>
    </row>
    <row r="13" spans="1:5">
      <c r="C13" s="3026" t="s">
        <v>438</v>
      </c>
      <c r="D13" t="s">
        <v>439</v>
      </c>
    </row>
    <row r="14" spans="1:5">
      <c r="D14" t="s">
        <v>440</v>
      </c>
    </row>
    <row r="15" spans="1:5">
      <c r="D15" t="s">
        <v>441</v>
      </c>
    </row>
    <row r="16" spans="1:5">
      <c r="D16" t="s">
        <v>442</v>
      </c>
    </row>
    <row r="17" spans="1:5">
      <c r="D17" t="s">
        <v>443</v>
      </c>
    </row>
    <row r="18" spans="1:5">
      <c r="D18" t="s">
        <v>444</v>
      </c>
    </row>
    <row customHeight="1" ht="94.5" r="19" s="1843" spans="1:5">
      <c r="D19" s="3027" t="s">
        <v>445</v>
      </c>
      <c r="E19" t="s">
        <v>446</v>
      </c>
    </row>
  </sheetData>
  <mergeCells count="12">
    <mergeCell ref="E9:G9"/>
    <mergeCell ref="E10:G10"/>
    <mergeCell ref="E11:G11"/>
    <mergeCell ref="D3:D5"/>
    <mergeCell ref="D6:D8"/>
    <mergeCell ref="E7:G7"/>
    <mergeCell ref="E8:G8"/>
    <mergeCell ref="E2:G2"/>
    <mergeCell ref="E3:G3"/>
    <mergeCell ref="E4:G4"/>
    <mergeCell ref="E5:G5"/>
    <mergeCell ref="E6:G6"/>
  </mergeCells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2" sqref="A2"/>
    </sheetView>
  </sheetViews>
  <sheetFormatPr baseColWidth="8" defaultRowHeight="13.5" outlineLevelCol="0"/>
  <cols>
    <col customWidth="1" max="7" min="7" style="1843" width="3.625"/>
  </cols>
  <sheetData/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29"/>
  <sheetViews>
    <sheetView workbookViewId="0">
      <selection activeCell="E3" sqref="E3"/>
    </sheetView>
  </sheetViews>
  <sheetFormatPr baseColWidth="8" defaultRowHeight="13.5" outlineLevelCol="0"/>
  <cols>
    <col bestFit="1" customWidth="1" max="2" min="2" style="1843" width="10.5"/>
    <col customWidth="1" max="3" min="3" style="1843" width="16.75"/>
    <col customWidth="1" max="4" min="4" style="1843" width="15.875"/>
    <col customWidth="1" max="5" min="5" style="1843" width="13"/>
    <col customWidth="1" max="6" min="6" style="1843" width="17.75"/>
    <col customWidth="1" max="7" min="7" style="1843" width="14.5"/>
    <col bestFit="1" customWidth="1" max="9" min="8" style="1843" width="10.5"/>
    <col customWidth="1" max="10" min="10" style="1843" width="13.125"/>
    <col customWidth="1" max="11" min="11" style="1843" width="12.875"/>
    <col customWidth="1" max="12" min="12" style="1843" width="14.875"/>
    <col bestFit="1" customWidth="1" max="13" min="13" style="1843" width="10.5"/>
  </cols>
  <sheetData>
    <row r="1" spans="1:13">
      <c r="E1" s="3028" t="n"/>
    </row>
    <row r="2" spans="1:13">
      <c r="E2" s="3028" t="s">
        <v>79</v>
      </c>
      <c r="G2" t="s">
        <v>447</v>
      </c>
    </row>
    <row r="3" spans="1:13">
      <c r="B3" t="s">
        <v>187</v>
      </c>
      <c r="E3" s="3028">
        <f>PL!T3+' SET Cost(staf+OS)'!H3/1000</f>
        <v/>
      </c>
      <c r="F3" s="2799" t="n"/>
      <c r="G3" s="3028" t="n">
        <v>936.5938081999999</v>
      </c>
      <c r="H3" s="2799" t="n"/>
      <c r="J3" s="3028" t="n"/>
    </row>
    <row r="4" spans="1:13">
      <c r="B4" t="s">
        <v>160</v>
      </c>
      <c r="E4" s="3028">
        <f>PL!T13+PL!T14+' SET Cost(staf+OS)'!H13/1000</f>
        <v/>
      </c>
      <c r="F4" s="2799" t="n"/>
      <c r="G4" s="3028" t="n"/>
      <c r="H4" s="2799" t="n"/>
    </row>
    <row customFormat="1" r="5" s="2799" spans="1:13">
      <c r="B5" s="2799" t="s">
        <v>448</v>
      </c>
      <c r="E5" s="3028">
        <f>PL!T11+' SET Cost(staf+OS)'!H11/1000</f>
        <v/>
      </c>
      <c r="G5" s="3028" t="n"/>
      <c r="K5" s="3028" t="n"/>
      <c r="L5" s="3028" t="n"/>
    </row>
    <row r="6" spans="1:13">
      <c r="B6" t="s">
        <v>449</v>
      </c>
      <c r="E6" s="3028">
        <f>PL!T12+' SET Cost(staf+OS)'!H12/1000</f>
        <v/>
      </c>
      <c r="F6" s="2799" t="n"/>
      <c r="G6" s="3028" t="n"/>
      <c r="H6" s="2799" t="n"/>
      <c r="L6" s="3028" t="n"/>
    </row>
    <row customFormat="1" r="7" s="2799" spans="1:13">
      <c r="B7" s="2799" t="s">
        <v>450</v>
      </c>
      <c r="E7" s="3028">
        <f>PL!T8+' SET Cost(staf+OS)'!H9/1000</f>
        <v/>
      </c>
      <c r="G7" s="3028" t="n"/>
      <c r="K7" s="3028" t="n"/>
      <c r="L7" s="3028" t="n"/>
    </row>
    <row r="8" spans="1:13">
      <c r="B8" t="s">
        <v>451</v>
      </c>
      <c r="E8" s="3028">
        <f>PL!T17+PL!T18+' SET Cost(staf+OS)'!H17/1000</f>
        <v/>
      </c>
      <c r="F8" s="3008" t="n"/>
      <c r="G8" s="3028" t="n"/>
      <c r="H8" s="2799" t="n"/>
      <c r="K8" s="3028" t="n"/>
      <c r="L8" s="3028" t="n"/>
    </row>
    <row r="9" spans="1:13">
      <c r="B9" t="s">
        <v>159</v>
      </c>
      <c r="E9" s="3028">
        <f>PL!T5+PL!T15+PL!T16+' SET Cost(staf+OS)'!H15/1000</f>
        <v/>
      </c>
      <c r="F9" s="2799" t="n"/>
      <c r="G9" s="3028" t="n"/>
      <c r="H9" s="2799" t="n"/>
      <c r="K9" s="3028" t="n"/>
      <c r="L9" s="3028" t="n"/>
    </row>
    <row customFormat="1" r="10" s="2799" spans="1:13">
      <c r="B10" s="2799" t="s">
        <v>452</v>
      </c>
      <c r="E10" s="3028">
        <f>PL!T4+PL!T7+PL!T9+' SET Cost(staf+OS)'!H10/1000</f>
        <v/>
      </c>
      <c r="G10" s="3028" t="n"/>
      <c r="K10" s="3028" t="n"/>
      <c r="L10" s="3028" t="n"/>
    </row>
    <row r="11" spans="1:13">
      <c r="B11" t="s">
        <v>191</v>
      </c>
      <c r="E11" s="3028">
        <f>PL!T6+' SET Cost(staf+OS)'!H6/1000</f>
        <v/>
      </c>
      <c r="F11" s="2799" t="n"/>
      <c r="G11" s="3028" t="n"/>
      <c r="H11" s="2799" t="n"/>
      <c r="K11" s="3028" t="n"/>
      <c r="L11" s="3028" t="n"/>
    </row>
    <row r="12" spans="1:13">
      <c r="B12" t="s">
        <v>157</v>
      </c>
      <c r="E12" s="3028">
        <f>PL!T10+' SET Cost(staf+OS)'!H8/1000</f>
        <v/>
      </c>
      <c r="F12" s="2799" t="n"/>
      <c r="G12" s="3028" t="n"/>
      <c r="I12" s="3028" t="n"/>
      <c r="K12" s="3028" t="n"/>
      <c r="L12" s="3028" t="n"/>
    </row>
    <row r="13" spans="1:13">
      <c r="D13" s="3028" t="n"/>
      <c r="E13" s="3028" t="n"/>
      <c r="F13" s="2799" t="n"/>
      <c r="G13" s="3028" t="n"/>
      <c r="K13" s="3028" t="n"/>
      <c r="L13" s="3028" t="n"/>
    </row>
    <row r="14" spans="1:13">
      <c r="E14" s="3028" t="n"/>
      <c r="G14" s="3028" t="n"/>
      <c r="K14" s="3028" t="n"/>
    </row>
    <row r="15" spans="1:13">
      <c r="B15" t="s">
        <v>453</v>
      </c>
      <c r="C15" t="s">
        <v>454</v>
      </c>
      <c r="D15" t="s">
        <v>455</v>
      </c>
      <c r="E15" t="s">
        <v>456</v>
      </c>
      <c r="F15" t="s">
        <v>457</v>
      </c>
      <c r="G15" t="s">
        <v>458</v>
      </c>
      <c r="H15" t="s">
        <v>459</v>
      </c>
      <c r="I15" t="s">
        <v>460</v>
      </c>
      <c r="J15" t="s">
        <v>461</v>
      </c>
      <c r="K15" t="s">
        <v>462</v>
      </c>
      <c r="L15" t="s">
        <v>463</v>
      </c>
      <c r="M15" t="s">
        <v>464</v>
      </c>
    </row>
    <row r="16" spans="1:13">
      <c r="A16" t="s">
        <v>80</v>
      </c>
      <c r="B16" s="2991" t="n">
        <v>17504.17371423104</v>
      </c>
      <c r="C16" s="2991" t="n">
        <v>17431.97018545688</v>
      </c>
      <c r="D16" s="2991" t="n">
        <v>20206.47107762133</v>
      </c>
      <c r="E16" s="2991" t="n">
        <v>20340.71793393898</v>
      </c>
      <c r="F16" s="2991" t="n">
        <v>19918.18892492997</v>
      </c>
      <c r="G16" s="2991" t="n">
        <v>22268.3840290408</v>
      </c>
      <c r="H16" s="2991" t="n">
        <v>20944.25242534562</v>
      </c>
      <c r="I16" s="2991" t="n">
        <v>20829.44385391705</v>
      </c>
      <c r="J16" s="2991" t="n">
        <v>21971.64369412443</v>
      </c>
      <c r="K16" s="2991" t="n">
        <v>22404.16231163594</v>
      </c>
      <c r="L16" s="2991" t="n">
        <v>19424.91784249084</v>
      </c>
      <c r="M16" s="2991" t="n">
        <v>20276.20751857143</v>
      </c>
    </row>
    <row r="17" spans="1:13">
      <c r="A17" t="s">
        <v>465</v>
      </c>
      <c r="B17" s="2991" t="n">
        <v>10320.85405405405</v>
      </c>
      <c r="C17" s="2991" t="n">
        <v>10481.25117117117</v>
      </c>
      <c r="D17" s="2991" t="n">
        <v>10802.55711711713</v>
      </c>
      <c r="E17" s="2991" t="n">
        <v>11026.74234234234</v>
      </c>
      <c r="F17" s="2991" t="n">
        <v>10604.21333333333</v>
      </c>
      <c r="G17" s="2991" t="n">
        <v>12938.30198198198</v>
      </c>
      <c r="H17" s="2991" t="n">
        <v>11926.39142857143</v>
      </c>
      <c r="I17" s="2991" t="n">
        <v>11811.58285714286</v>
      </c>
      <c r="J17" s="2991" t="n">
        <v>12938.32571428572</v>
      </c>
      <c r="K17" s="2991" t="n">
        <v>13375.48142857143</v>
      </c>
      <c r="L17" s="2991" t="n">
        <v>12768.32071428571</v>
      </c>
      <c r="M17" s="2991" t="n">
        <v>12592.20642857143</v>
      </c>
    </row>
    <row r="18" spans="1:13">
      <c r="A18" t="s">
        <v>466</v>
      </c>
      <c r="B18" s="2991">
        <f>B16-B17</f>
        <v/>
      </c>
      <c r="C18" s="2991">
        <f>C16-C17</f>
        <v/>
      </c>
      <c r="D18" s="2991">
        <f>D16-D17</f>
        <v/>
      </c>
      <c r="E18" s="2991">
        <f>E16-E17</f>
        <v/>
      </c>
      <c r="F18" s="2991">
        <f>F16-F17</f>
        <v/>
      </c>
      <c r="G18" s="2991">
        <f>G16-G17</f>
        <v/>
      </c>
      <c r="H18" s="2991">
        <f>H16-H17</f>
        <v/>
      </c>
      <c r="I18" s="2991">
        <f>I16-I17</f>
        <v/>
      </c>
      <c r="J18" s="2991">
        <f>J16-J17</f>
        <v/>
      </c>
      <c r="K18" s="2991">
        <f>K16-K17</f>
        <v/>
      </c>
      <c r="L18" s="2991">
        <f>L16-L17</f>
        <v/>
      </c>
      <c r="M18" s="2991">
        <f>M16-M17</f>
        <v/>
      </c>
    </row>
    <row r="19" spans="1:13">
      <c r="D19" s="3028" t="n"/>
      <c r="E19" s="3029" t="n"/>
    </row>
    <row r="20" spans="1:13">
      <c r="B20" s="2991" t="n"/>
      <c r="C20" s="2991" t="n"/>
      <c r="D20" s="2991" t="n"/>
      <c r="E20" s="3028">
        <f>PL!X322+PL!X274</f>
        <v/>
      </c>
      <c r="F20" s="2991" t="n"/>
      <c r="G20" s="2991" t="n"/>
      <c r="H20" s="2991" t="n"/>
      <c r="I20" s="2991" t="n"/>
      <c r="J20" s="2991" t="n"/>
      <c r="K20" s="2991" t="n"/>
      <c r="L20" s="2991" t="n"/>
      <c r="M20" s="2991" t="n"/>
    </row>
    <row r="21" spans="1:13">
      <c r="B21" s="2991" t="n"/>
      <c r="C21" s="2991" t="n"/>
      <c r="D21" s="2991" t="n"/>
      <c r="E21" s="3030" t="n"/>
      <c r="F21" s="2991" t="n"/>
      <c r="G21" s="2991" t="n"/>
      <c r="H21" s="2991" t="n"/>
      <c r="I21" s="2991" t="n"/>
      <c r="J21" s="2991" t="n"/>
      <c r="K21" s="2991" t="n"/>
      <c r="L21" s="2991" t="n"/>
      <c r="M21" s="2991" t="n"/>
    </row>
    <row r="22" spans="1:13">
      <c r="B22" s="2991" t="n"/>
      <c r="C22" s="2991" t="n"/>
      <c r="D22" s="2991" t="n"/>
      <c r="E22" s="2991" t="n"/>
      <c r="F22" s="2991" t="n"/>
      <c r="G22" s="2991" t="n"/>
      <c r="H22" s="2991" t="n"/>
      <c r="I22" s="2991" t="n"/>
      <c r="J22" s="2991" t="n"/>
      <c r="K22" s="2991" t="n"/>
      <c r="L22" s="2991" t="n"/>
      <c r="M22" s="2991" t="n"/>
    </row>
    <row r="23" spans="1:13">
      <c r="B23" s="3031" t="n"/>
      <c r="C23" s="3032" t="s">
        <v>467</v>
      </c>
      <c r="D23" s="3033" t="s">
        <v>468</v>
      </c>
      <c r="E23" s="3034" t="s">
        <v>469</v>
      </c>
      <c r="F23" s="3035" t="s">
        <v>470</v>
      </c>
      <c r="G23" s="3033" t="s">
        <v>471</v>
      </c>
      <c r="H23" s="3036" t="n"/>
      <c r="I23" s="2991" t="n"/>
      <c r="J23" s="2991" t="n"/>
      <c r="K23" s="2991" t="n"/>
      <c r="L23" s="2991" t="n"/>
      <c r="M23" s="2991" t="n"/>
    </row>
    <row r="24" spans="1:13">
      <c r="B24" s="3037" t="s">
        <v>472</v>
      </c>
      <c r="C24" s="3038" t="s">
        <v>473</v>
      </c>
      <c r="D24" s="3039" t="s">
        <v>474</v>
      </c>
      <c r="E24" s="3040" t="s">
        <v>475</v>
      </c>
      <c r="F24" s="3038" t="n">
        <v>5496</v>
      </c>
      <c r="G24" s="3039" t="n">
        <v>4426</v>
      </c>
    </row>
    <row r="25" spans="1:13">
      <c r="B25" s="3037" t="s">
        <v>476</v>
      </c>
      <c r="C25" s="3038" t="s">
        <v>477</v>
      </c>
      <c r="D25" s="3039" t="s">
        <v>478</v>
      </c>
      <c r="E25" s="3040" t="s">
        <v>479</v>
      </c>
      <c r="F25" s="3038" t="n">
        <v>5669</v>
      </c>
      <c r="G25" s="3039" t="n">
        <v>4738</v>
      </c>
    </row>
    <row r="26" spans="1:13">
      <c r="B26" s="3037" t="s">
        <v>480</v>
      </c>
      <c r="C26" s="3038" t="s">
        <v>481</v>
      </c>
      <c r="D26" s="3039" t="s">
        <v>482</v>
      </c>
      <c r="E26" s="3040" t="s">
        <v>483</v>
      </c>
      <c r="F26" s="3038" t="n">
        <v>5455</v>
      </c>
      <c r="G26" s="3039" t="n">
        <v>5780</v>
      </c>
    </row>
    <row r="27" spans="1:13">
      <c r="B27" s="3037" t="s">
        <v>484</v>
      </c>
      <c r="C27" s="3038" t="s">
        <v>485</v>
      </c>
      <c r="D27" s="3039" t="s">
        <v>486</v>
      </c>
      <c r="E27" s="3040" t="s">
        <v>487</v>
      </c>
      <c r="F27" s="3038" t="n">
        <v>5734</v>
      </c>
      <c r="G27" s="3039" t="n">
        <v>4890</v>
      </c>
    </row>
    <row r="28" spans="1:13">
      <c r="B28" s="3026" t="n"/>
      <c r="C28" s="3026" t="n"/>
      <c r="D28" s="3026" t="n"/>
    </row>
    <row r="29" spans="1:13">
      <c r="C29" s="3008" t="n"/>
    </row>
  </sheetData>
  <pageMargins bottom="0.75" footer="0.3" header="0.3" left="0.7" right="0.7" top="0.75"/>
  <pageSetup orientation="portrait" paperSize="9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5" sqref="A5"/>
    </sheetView>
  </sheetViews>
  <sheetFormatPr baseColWidth="8" defaultRowHeight="13.5" outlineLevelCol="0"/>
  <cols>
    <col customWidth="1" max="1" min="1" style="1843" width="17.125"/>
    <col customWidth="1" max="2" min="2" style="1843" width="13.25"/>
  </cols>
  <sheetData>
    <row r="1" spans="1:2">
      <c r="A1" s="3041" t="s">
        <v>488</v>
      </c>
      <c r="B1" s="3042" t="n">
        <v>118250</v>
      </c>
    </row>
    <row r="2" spans="1:2">
      <c r="A2" s="3041" t="s">
        <v>489</v>
      </c>
      <c r="B2" s="3042" t="n">
        <v>27310</v>
      </c>
    </row>
    <row customHeight="1" ht="15" r="3" s="1843" spans="1:2">
      <c r="A3" s="3041" t="s">
        <v>80</v>
      </c>
      <c r="B3" s="3043" t="n">
        <v>145559</v>
      </c>
    </row>
    <row r="4" spans="1:2">
      <c r="A4" s="3044" t="s">
        <v>490</v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000099"/>
    <outlinePr summaryBelow="1" summaryRight="1"/>
    <pageSetUpPr/>
  </sheetPr>
  <dimension ref="A1:AO159"/>
  <sheetViews>
    <sheetView workbookViewId="0" zoomScale="115" zoomScaleNormal="115">
      <pane activePane="bottomRight" state="frozen" topLeftCell="AI73" xSplit="6" ySplit="3"/>
      <selection activeCell="G1" pane="topRight" sqref="G1"/>
      <selection activeCell="A4" pane="bottomLeft" sqref="A4"/>
      <selection activeCell="E90" pane="bottomRight" sqref="E90"/>
    </sheetView>
  </sheetViews>
  <sheetFormatPr baseColWidth="8" defaultColWidth="9" defaultRowHeight="10.5" outlineLevelCol="0"/>
  <cols>
    <col bestFit="1" customWidth="1" max="1" min="1" style="1938" width="4.125"/>
    <col customWidth="1" max="2" min="2" style="1938" width="17.375"/>
    <col customWidth="1" max="3" min="3" style="1938" width="6.25"/>
    <col customWidth="1" max="4" min="4" style="1939" width="11.25"/>
    <col customWidth="1" max="5" min="5" style="1938" width="11.25"/>
    <col customWidth="1" max="7" min="6" style="1940" width="11.25"/>
    <col customWidth="1" max="11" min="8" style="1941" width="11.25"/>
    <col customWidth="1" max="13" min="12" style="1942" width="11.25"/>
    <col customWidth="1" max="14" min="14" style="1943" width="11.25"/>
    <col customWidth="1" max="22" min="15" style="1941" width="11.25"/>
    <col customWidth="1" max="23" min="23" style="1938" width="11.25"/>
    <col customWidth="1" max="25" min="24" style="1938" width="11.25"/>
    <col customWidth="1" max="41" min="26" style="1938" width="11.25"/>
    <col customWidth="1" max="16384" min="42" style="1938" width="9"/>
  </cols>
  <sheetData>
    <row customFormat="1" r="1" s="1944" spans="1:41">
      <c r="B1" s="1945" t="n"/>
      <c r="G1" s="1945" t="n"/>
      <c r="H1" s="1941" t="n"/>
      <c r="I1" s="1941" t="n"/>
      <c r="J1" s="1941" t="n"/>
      <c r="K1" s="1941" t="n"/>
      <c r="L1" s="1941" t="n"/>
      <c r="M1" s="1941" t="n"/>
      <c r="N1" s="1942" t="n"/>
      <c r="O1" s="1941" t="n"/>
      <c r="P1" s="1941" t="n"/>
      <c r="Q1" s="1941" t="n"/>
      <c r="R1" s="1941" t="n"/>
      <c r="S1" s="1941" t="n"/>
      <c r="T1" s="1941" t="n"/>
      <c r="X1" s="1944" t="n"/>
      <c r="Y1" s="1944" t="n"/>
      <c r="Z1" s="1944" t="n"/>
      <c r="AA1" s="1944" t="n"/>
      <c r="AB1" s="1944" t="n"/>
      <c r="AC1" s="1944" t="n"/>
      <c r="AD1" s="1944" t="n"/>
      <c r="AE1" s="1944" t="n"/>
      <c r="AF1" s="1944" t="n"/>
      <c r="AG1" s="1944" t="n"/>
      <c r="AH1" s="1944" t="n"/>
      <c r="AI1" s="1944" t="n"/>
      <c r="AJ1" s="1944" t="n"/>
      <c r="AK1" s="1944" t="n"/>
      <c r="AL1" s="1944" t="n"/>
      <c r="AM1" s="1944" t="n"/>
      <c r="AN1" s="1944" t="n"/>
      <c r="AO1" s="1944" t="n"/>
    </row>
    <row customFormat="1" customHeight="1" ht="13.5" r="2" s="1944" spans="1:41" thickBot="1">
      <c r="D2" s="1946" t="n"/>
      <c r="F2" s="1947" t="n"/>
      <c r="G2" s="1948" t="s">
        <v>55</v>
      </c>
      <c r="W2" s="1949" t="n"/>
      <c r="X2" s="1949" t="n"/>
      <c r="Y2" s="1949" t="n"/>
      <c r="Z2" s="1944" t="n"/>
      <c r="AA2" s="1944" t="n"/>
      <c r="AB2" s="1944" t="n"/>
      <c r="AC2" s="1944" t="n"/>
    </row>
    <row customFormat="1" customHeight="1" ht="21.6" r="3" s="1950" spans="1:41">
      <c r="A3" s="1951" t="s">
        <v>56</v>
      </c>
      <c r="B3" s="1952" t="s">
        <v>57</v>
      </c>
      <c r="C3" s="1953" t="s">
        <v>58</v>
      </c>
      <c r="D3" s="1954" t="s">
        <v>59</v>
      </c>
      <c r="E3" s="1955" t="s">
        <v>60</v>
      </c>
      <c r="F3" s="1956" t="s">
        <v>61</v>
      </c>
      <c r="G3" s="1957" t="s">
        <v>62</v>
      </c>
      <c r="H3" s="1957" t="s">
        <v>63</v>
      </c>
      <c r="I3" s="1957" t="s">
        <v>64</v>
      </c>
      <c r="J3" s="1957" t="s">
        <v>65</v>
      </c>
      <c r="K3" s="1957" t="s">
        <v>66</v>
      </c>
      <c r="L3" s="1957" t="s">
        <v>67</v>
      </c>
      <c r="M3" s="1957" t="s">
        <v>68</v>
      </c>
      <c r="N3" s="1957" t="s">
        <v>69</v>
      </c>
      <c r="O3" s="1957" t="s">
        <v>70</v>
      </c>
      <c r="P3" s="1957" t="s">
        <v>71</v>
      </c>
      <c r="Q3" s="1957" t="s">
        <v>72</v>
      </c>
      <c r="R3" s="1957" t="s">
        <v>73</v>
      </c>
      <c r="S3" s="1957" t="s">
        <v>74</v>
      </c>
      <c r="T3" s="1957" t="s">
        <v>75</v>
      </c>
      <c r="U3" s="1957" t="s">
        <v>76</v>
      </c>
      <c r="V3" s="1952" t="s">
        <v>77</v>
      </c>
      <c r="W3" s="1958" t="s">
        <v>78</v>
      </c>
      <c r="X3" s="1938" t="n"/>
      <c r="Y3" s="1959" t="s">
        <v>79</v>
      </c>
      <c r="Z3" s="1960" t="s">
        <v>62</v>
      </c>
      <c r="AA3" s="1960" t="s">
        <v>63</v>
      </c>
      <c r="AB3" s="1960" t="s">
        <v>64</v>
      </c>
      <c r="AC3" s="1960" t="s">
        <v>65</v>
      </c>
      <c r="AD3" s="1960" t="s">
        <v>66</v>
      </c>
      <c r="AE3" s="1960" t="s">
        <v>67</v>
      </c>
      <c r="AF3" s="1961" t="s">
        <v>68</v>
      </c>
      <c r="AG3" s="1960" t="s">
        <v>69</v>
      </c>
      <c r="AH3" s="1960" t="s">
        <v>70</v>
      </c>
      <c r="AI3" s="1960" t="s">
        <v>71</v>
      </c>
      <c r="AJ3" s="1960" t="s">
        <v>72</v>
      </c>
      <c r="AK3" s="1960" t="s">
        <v>73</v>
      </c>
      <c r="AL3" s="1960" t="s">
        <v>74</v>
      </c>
      <c r="AM3" s="1960" t="s">
        <v>75</v>
      </c>
      <c r="AN3" s="1961" t="s">
        <v>80</v>
      </c>
      <c r="AO3" s="1938" t="n"/>
    </row>
    <row r="4" spans="1:41">
      <c r="A4" s="1962" t="n">
        <v>1</v>
      </c>
      <c r="B4" s="1963" t="s">
        <v>81</v>
      </c>
      <c r="C4" s="1964" t="s">
        <v>82</v>
      </c>
      <c r="D4" s="1965" t="s">
        <v>83</v>
      </c>
      <c r="E4" s="1966" t="s">
        <v>84</v>
      </c>
      <c r="F4" s="1966" t="s">
        <v>85</v>
      </c>
      <c r="G4" s="1672" t="n">
        <v>7.5</v>
      </c>
      <c r="H4" s="1672" t="n">
        <v>7.5</v>
      </c>
      <c r="I4" s="1672" t="n">
        <v>5.5</v>
      </c>
      <c r="J4" s="1672" t="n">
        <v>8</v>
      </c>
      <c r="K4" s="1672" t="n">
        <v>7</v>
      </c>
      <c r="L4" s="1672" t="n">
        <v>8.5</v>
      </c>
      <c r="M4" s="1967">
        <f>SUM(G4:L4)</f>
        <v/>
      </c>
      <c r="N4" s="1672" t="n">
        <v>5.5</v>
      </c>
      <c r="O4" s="1672" t="n">
        <v>5.5</v>
      </c>
      <c r="P4" s="1672" t="n">
        <v>5.5</v>
      </c>
      <c r="Q4" s="1672" t="n">
        <v>5.5</v>
      </c>
      <c r="R4" s="1672" t="n">
        <v>5.5</v>
      </c>
      <c r="S4" s="1672" t="n">
        <v>8.5</v>
      </c>
      <c r="T4" s="1967">
        <f>SUM(N4:S4)</f>
        <v/>
      </c>
      <c r="U4" s="1968">
        <f>T4+M4</f>
        <v/>
      </c>
      <c r="V4" s="1969" t="s">
        <v>86</v>
      </c>
      <c r="W4" s="1970" t="n">
        <v>12277</v>
      </c>
      <c r="X4" s="1971" t="n"/>
      <c r="Y4" s="1971" t="n"/>
      <c r="Z4" s="1972" t="n"/>
      <c r="AA4" s="1944" t="n"/>
      <c r="AB4" s="1944" t="n"/>
      <c r="AC4" s="1973" t="n"/>
      <c r="AD4" s="1973" t="n"/>
      <c r="AE4" s="1973" t="n"/>
      <c r="AF4" s="1973" t="n"/>
      <c r="AG4" s="1974" t="n"/>
      <c r="AH4" s="1974" t="n"/>
      <c r="AI4" s="1974" t="n"/>
    </row>
    <row r="5" spans="1:41">
      <c r="A5" s="1962" t="n">
        <v>1</v>
      </c>
      <c r="B5" s="1963" t="s">
        <v>81</v>
      </c>
      <c r="C5" s="1964" t="s">
        <v>82</v>
      </c>
      <c r="D5" s="1965" t="s">
        <v>83</v>
      </c>
      <c r="E5" s="1966" t="s">
        <v>84</v>
      </c>
      <c r="F5" s="1966" t="s">
        <v>87</v>
      </c>
      <c r="G5" s="1672" t="n">
        <v>0.5</v>
      </c>
      <c r="H5" s="1672" t="n">
        <v>0.5</v>
      </c>
      <c r="I5" s="1672" t="n">
        <v>0.5</v>
      </c>
      <c r="J5" s="1672" t="n">
        <v>0.5</v>
      </c>
      <c r="K5" s="1672" t="n">
        <v>0.5</v>
      </c>
      <c r="L5" s="1672" t="n">
        <v>0.5</v>
      </c>
      <c r="M5" s="1967">
        <f>SUM(G5:L5)</f>
        <v/>
      </c>
      <c r="N5" s="1672" t="n">
        <v>0.5</v>
      </c>
      <c r="O5" s="1672" t="n">
        <v>0.5</v>
      </c>
      <c r="P5" s="1672" t="n">
        <v>0.5</v>
      </c>
      <c r="Q5" s="1672" t="n">
        <v>0.5</v>
      </c>
      <c r="R5" s="1672" t="n">
        <v>0.5</v>
      </c>
      <c r="S5" s="1672" t="n">
        <v>0.5</v>
      </c>
      <c r="T5" s="1967">
        <f>SUM(N5:S5)</f>
        <v/>
      </c>
      <c r="U5" s="1968">
        <f>T5+M5</f>
        <v/>
      </c>
      <c r="V5" s="1969" t="s">
        <v>86</v>
      </c>
      <c r="W5" s="1970" t="n">
        <v>12277</v>
      </c>
      <c r="X5" s="1971" t="n"/>
      <c r="Y5" s="1971" t="n"/>
      <c r="Z5" s="1972" t="n"/>
      <c r="AA5" s="1944" t="n"/>
      <c r="AB5" s="1944" t="n"/>
      <c r="AC5" s="1973" t="n"/>
      <c r="AD5" s="1973" t="n"/>
      <c r="AE5" s="1973" t="n"/>
      <c r="AF5" s="1973" t="n"/>
      <c r="AG5" s="1974" t="n"/>
      <c r="AH5" s="1974" t="n"/>
      <c r="AI5" s="1974" t="n"/>
    </row>
    <row r="6" spans="1:41">
      <c r="A6" s="1962" t="n">
        <v>1</v>
      </c>
      <c r="B6" s="1963" t="s">
        <v>81</v>
      </c>
      <c r="C6" s="1964" t="s">
        <v>82</v>
      </c>
      <c r="D6" s="1965" t="s">
        <v>83</v>
      </c>
      <c r="E6" s="1966" t="s">
        <v>84</v>
      </c>
      <c r="F6" s="1966" t="s">
        <v>88</v>
      </c>
      <c r="G6" s="1672" t="n">
        <v>7</v>
      </c>
      <c r="H6" s="1672" t="n">
        <v>7</v>
      </c>
      <c r="I6" s="1672" t="n">
        <v>4</v>
      </c>
      <c r="J6" s="1672" t="n">
        <v>7</v>
      </c>
      <c r="K6" s="1672" t="n">
        <v>6</v>
      </c>
      <c r="L6" s="1672" t="n">
        <v>10</v>
      </c>
      <c r="M6" s="1967">
        <f>SUM(G6:L6)</f>
        <v/>
      </c>
      <c r="N6" s="1672" t="n">
        <v>12</v>
      </c>
      <c r="O6" s="1672" t="n">
        <v>7</v>
      </c>
      <c r="P6" s="1672" t="n">
        <v>7</v>
      </c>
      <c r="Q6" s="1672" t="n">
        <v>6</v>
      </c>
      <c r="R6" s="1672" t="n">
        <v>6</v>
      </c>
      <c r="S6" s="1672" t="n">
        <v>6</v>
      </c>
      <c r="T6" s="1967">
        <f>SUM(N6:S6)</f>
        <v/>
      </c>
      <c r="U6" s="1968">
        <f>T6+M6</f>
        <v/>
      </c>
      <c r="V6" s="1969" t="s">
        <v>86</v>
      </c>
      <c r="W6" s="1970" t="n">
        <v>12277</v>
      </c>
      <c r="X6" s="1971" t="n"/>
      <c r="Y6" s="1971" t="n"/>
      <c r="Z6" s="1972" t="n"/>
      <c r="AA6" s="1944" t="n"/>
      <c r="AB6" s="1944" t="n"/>
      <c r="AC6" s="1973" t="n"/>
      <c r="AD6" s="1973" t="n"/>
      <c r="AE6" s="1973" t="n"/>
      <c r="AF6" s="1973" t="n"/>
      <c r="AG6" s="1974" t="n"/>
      <c r="AH6" s="1974" t="n"/>
      <c r="AI6" s="1974" t="n"/>
    </row>
    <row r="7" spans="1:41">
      <c r="A7" s="1962" t="n">
        <v>1</v>
      </c>
      <c r="B7" s="1963" t="s">
        <v>81</v>
      </c>
      <c r="C7" s="1964" t="s">
        <v>82</v>
      </c>
      <c r="D7" s="1965" t="s">
        <v>83</v>
      </c>
      <c r="E7" s="1966" t="s">
        <v>84</v>
      </c>
      <c r="F7" s="1966" t="s">
        <v>89</v>
      </c>
      <c r="G7" s="1673" t="n">
        <v>107223</v>
      </c>
      <c r="H7" s="1673" t="n">
        <v>148290</v>
      </c>
      <c r="I7" s="1673" t="n">
        <v>80567</v>
      </c>
      <c r="J7" s="1673" t="n">
        <v>104717</v>
      </c>
      <c r="K7" s="1672" t="n">
        <v>104717</v>
      </c>
      <c r="L7" s="1672" t="n">
        <v>159317</v>
      </c>
      <c r="M7" s="1967">
        <f>SUM(G7:L7)</f>
        <v/>
      </c>
      <c r="N7" s="1672" t="n">
        <v>186617</v>
      </c>
      <c r="O7" s="1672" t="n">
        <v>119942</v>
      </c>
      <c r="P7" s="1672" t="n">
        <v>119942</v>
      </c>
      <c r="Q7" s="1672" t="n">
        <v>101567</v>
      </c>
      <c r="R7" s="1672" t="n">
        <v>101567</v>
      </c>
      <c r="S7" s="1672" t="n">
        <v>101567</v>
      </c>
      <c r="T7" s="1967">
        <f>SUM(N7:S7)</f>
        <v/>
      </c>
      <c r="U7" s="1968">
        <f>T7+M7</f>
        <v/>
      </c>
      <c r="V7" s="1969" t="s">
        <v>86</v>
      </c>
      <c r="W7" s="1970" t="n">
        <v>12277</v>
      </c>
      <c r="X7" s="1971" t="n"/>
      <c r="Y7" s="1971" t="n"/>
      <c r="Z7" s="1944">
        <f>PL!E93</f>
        <v/>
      </c>
      <c r="AA7" s="1944">
        <f>PL!I93</f>
        <v/>
      </c>
      <c r="AB7" s="1944">
        <f>PL!M93</f>
        <v/>
      </c>
      <c r="AC7" s="1944">
        <f>PL!Q93</f>
        <v/>
      </c>
      <c r="AD7" s="1944">
        <f>PL!U93</f>
        <v/>
      </c>
      <c r="AE7" s="1944">
        <f>PL!Y93</f>
        <v/>
      </c>
      <c r="AF7" s="1973">
        <f>SUBTOTAL(9,Z7:AE7)</f>
        <v/>
      </c>
      <c r="AG7" s="1944">
        <f>PL!AC93</f>
        <v/>
      </c>
      <c r="AH7" s="1944">
        <f>PL!AG93</f>
        <v/>
      </c>
      <c r="AI7" s="1944">
        <f>PL!AK93</f>
        <v/>
      </c>
      <c r="AJ7" s="1944">
        <f>PL!AO93</f>
        <v/>
      </c>
      <c r="AK7" s="1944">
        <f>PL!AS93</f>
        <v/>
      </c>
      <c r="AL7" s="1944">
        <f>PL!AW93</f>
        <v/>
      </c>
      <c r="AM7" s="1973">
        <f>SUBTOTAL(9,AG7:AL7)</f>
        <v/>
      </c>
      <c r="AN7" s="1975">
        <f>SUM(AF7,AM7)</f>
        <v/>
      </c>
    </row>
    <row customFormat="1" r="8" s="1938" spans="1:41">
      <c r="A8" s="1962" t="n">
        <v>2</v>
      </c>
      <c r="B8" s="1976" t="s">
        <v>90</v>
      </c>
      <c r="C8" s="1964" t="s">
        <v>82</v>
      </c>
      <c r="D8" s="1977" t="s">
        <v>91</v>
      </c>
      <c r="E8" s="1978" t="s">
        <v>84</v>
      </c>
      <c r="F8" s="1964" t="s">
        <v>85</v>
      </c>
      <c r="G8" s="1674" t="n">
        <v>10</v>
      </c>
      <c r="H8" s="1674" t="n">
        <v>8.5</v>
      </c>
      <c r="I8" s="1674" t="n">
        <v>13</v>
      </c>
      <c r="J8" s="1674" t="n">
        <v>18</v>
      </c>
      <c r="K8" s="1674" t="n">
        <v>20</v>
      </c>
      <c r="L8" s="1674" t="n">
        <v>24</v>
      </c>
      <c r="M8" s="1979">
        <f>SUM(G8:L8)</f>
        <v/>
      </c>
      <c r="N8" s="1674" t="n">
        <v>24.5</v>
      </c>
      <c r="O8" s="1674" t="n">
        <v>21.5</v>
      </c>
      <c r="P8" s="1674" t="n">
        <v>15.5</v>
      </c>
      <c r="Q8" s="1674" t="n">
        <v>15.5</v>
      </c>
      <c r="R8" s="1674" t="n">
        <v>16</v>
      </c>
      <c r="S8" s="1674" t="n">
        <v>14</v>
      </c>
      <c r="T8" s="1979">
        <f>SUM(N8:S8)</f>
        <v/>
      </c>
      <c r="U8" s="1980">
        <f>T8+M8</f>
        <v/>
      </c>
      <c r="V8" s="1981" t="s">
        <v>86</v>
      </c>
      <c r="W8" s="1970" t="n">
        <v>12277</v>
      </c>
      <c r="X8" s="1971" t="n"/>
      <c r="Y8" s="1971" t="n"/>
      <c r="Z8" s="1972" t="n"/>
      <c r="AA8" s="1944" t="n"/>
      <c r="AB8" s="1944" t="n"/>
      <c r="AC8" s="1973" t="n"/>
      <c r="AD8" s="1973" t="n"/>
      <c r="AE8" s="1973" t="n"/>
      <c r="AF8" s="1973" t="n"/>
      <c r="AG8" s="1974" t="n"/>
      <c r="AH8" s="1974" t="n"/>
      <c r="AI8" s="1974" t="n"/>
    </row>
    <row customFormat="1" r="9" s="1938" spans="1:41">
      <c r="A9" s="1962" t="n">
        <v>2</v>
      </c>
      <c r="B9" s="1976" t="s">
        <v>90</v>
      </c>
      <c r="C9" s="1964" t="s">
        <v>82</v>
      </c>
      <c r="D9" s="1965" t="s">
        <v>91</v>
      </c>
      <c r="E9" s="1966" t="s">
        <v>84</v>
      </c>
      <c r="F9" s="1964" t="s">
        <v>87</v>
      </c>
      <c r="G9" s="1674" t="n">
        <v>2.5</v>
      </c>
      <c r="H9" s="1674" t="n">
        <v>2.5</v>
      </c>
      <c r="I9" s="1674" t="n">
        <v>2.5</v>
      </c>
      <c r="J9" s="1674" t="n">
        <v>2.5</v>
      </c>
      <c r="K9" s="1674" t="n">
        <v>2.5</v>
      </c>
      <c r="L9" s="1674" t="n">
        <v>2.5</v>
      </c>
      <c r="M9" s="1967">
        <f>SUM(G9:L9)</f>
        <v/>
      </c>
      <c r="N9" s="1674" t="n">
        <v>2.5</v>
      </c>
      <c r="O9" s="1674" t="n">
        <v>2.5</v>
      </c>
      <c r="P9" s="1674" t="n">
        <v>2.5</v>
      </c>
      <c r="Q9" s="1674" t="n">
        <v>2.5</v>
      </c>
      <c r="R9" s="1674" t="n">
        <v>3</v>
      </c>
      <c r="S9" s="1674" t="n">
        <v>3</v>
      </c>
      <c r="T9" s="1967">
        <f>SUM(N9:S9)</f>
        <v/>
      </c>
      <c r="U9" s="1968">
        <f>T9+M9</f>
        <v/>
      </c>
      <c r="V9" s="1969" t="s">
        <v>86</v>
      </c>
      <c r="W9" s="1970" t="n">
        <v>12277</v>
      </c>
      <c r="X9" s="1971" t="n"/>
      <c r="Y9" s="1971" t="n"/>
      <c r="Z9" s="1972" t="n"/>
      <c r="AA9" s="1944" t="n"/>
      <c r="AB9" s="1944" t="n"/>
      <c r="AC9" s="1973" t="n"/>
      <c r="AD9" s="1973" t="n"/>
      <c r="AE9" s="1973" t="n"/>
      <c r="AF9" s="1973" t="n"/>
      <c r="AG9" s="1974" t="n"/>
      <c r="AH9" s="1974" t="n"/>
      <c r="AI9" s="1974" t="n"/>
    </row>
    <row customFormat="1" r="10" s="1938" spans="1:41">
      <c r="A10" s="1962" t="n">
        <v>2</v>
      </c>
      <c r="B10" s="1976" t="s">
        <v>90</v>
      </c>
      <c r="C10" s="1964" t="s">
        <v>82</v>
      </c>
      <c r="D10" s="1965" t="s">
        <v>91</v>
      </c>
      <c r="E10" s="1966" t="s">
        <v>84</v>
      </c>
      <c r="F10" s="1966" t="s">
        <v>88</v>
      </c>
      <c r="G10" s="1674" t="n">
        <v>6.5</v>
      </c>
      <c r="H10" s="1674" t="n">
        <v>7.5</v>
      </c>
      <c r="I10" s="1674" t="n">
        <v>10.5</v>
      </c>
      <c r="J10" s="1674" t="n">
        <v>15.25</v>
      </c>
      <c r="K10" s="1674" t="n">
        <v>17</v>
      </c>
      <c r="L10" s="1674" t="n">
        <v>21</v>
      </c>
      <c r="M10" s="1967">
        <f>SUM(G10:L10)</f>
        <v/>
      </c>
      <c r="N10" s="1674" t="n">
        <v>22</v>
      </c>
      <c r="O10" s="1674" t="n">
        <v>19</v>
      </c>
      <c r="P10" s="1674" t="n">
        <v>9</v>
      </c>
      <c r="Q10" s="1674" t="n">
        <v>5</v>
      </c>
      <c r="R10" s="1674" t="n">
        <v>7</v>
      </c>
      <c r="S10" s="1674" t="n">
        <v>7</v>
      </c>
      <c r="T10" s="1967">
        <f>SUM(N10:S10)</f>
        <v/>
      </c>
      <c r="U10" s="1968">
        <f>T10+M10</f>
        <v/>
      </c>
      <c r="V10" s="1969" t="s">
        <v>86</v>
      </c>
      <c r="W10" s="1970" t="n">
        <v>12277</v>
      </c>
      <c r="X10" s="1971" t="n"/>
      <c r="Y10" s="1971" t="n"/>
      <c r="Z10" s="1972" t="n"/>
      <c r="AA10" s="1944" t="n"/>
      <c r="AB10" s="1944" t="n"/>
      <c r="AC10" s="1973" t="n"/>
      <c r="AD10" s="1973" t="n"/>
      <c r="AE10" s="1973" t="n"/>
      <c r="AF10" s="1973" t="n"/>
      <c r="AG10" s="1974" t="n"/>
      <c r="AH10" s="1974" t="n"/>
      <c r="AI10" s="1974" t="n"/>
    </row>
    <row customFormat="1" r="11" s="1938" spans="1:41">
      <c r="A11" s="1962" t="n">
        <v>2</v>
      </c>
      <c r="B11" s="1976" t="s">
        <v>90</v>
      </c>
      <c r="C11" s="1964" t="s">
        <v>82</v>
      </c>
      <c r="D11" s="1965" t="s">
        <v>91</v>
      </c>
      <c r="E11" s="1966" t="s">
        <v>84</v>
      </c>
      <c r="F11" s="1966" t="s">
        <v>89</v>
      </c>
      <c r="G11" s="1675" t="n">
        <v>283043.41</v>
      </c>
      <c r="H11" s="1675" t="n">
        <v>291233</v>
      </c>
      <c r="I11" s="1675" t="n">
        <v>397651.04</v>
      </c>
      <c r="J11" s="1674" t="n">
        <v>409398.99</v>
      </c>
      <c r="K11" s="1674" t="n">
        <v>442523.53</v>
      </c>
      <c r="L11" s="1674" t="n">
        <v>487059.72</v>
      </c>
      <c r="M11" s="1967">
        <f>SUM(G11:L11)</f>
        <v/>
      </c>
      <c r="N11" s="1674" t="n">
        <v>471273.53</v>
      </c>
      <c r="O11" s="1674" t="n">
        <v>461273.53</v>
      </c>
      <c r="P11" s="1674" t="n">
        <v>345750</v>
      </c>
      <c r="Q11" s="1674" t="n">
        <v>293538</v>
      </c>
      <c r="R11" s="1674" t="n">
        <v>322008</v>
      </c>
      <c r="S11" s="1674" t="n">
        <v>322008</v>
      </c>
      <c r="T11" s="1967">
        <f>SUM(N11:S11)</f>
        <v/>
      </c>
      <c r="U11" s="1968">
        <f>T11+M11</f>
        <v/>
      </c>
      <c r="V11" s="1969" t="s">
        <v>86</v>
      </c>
      <c r="W11" s="1970" t="n">
        <v>12277</v>
      </c>
      <c r="X11" s="1971" t="n"/>
      <c r="Y11" s="1971" t="n"/>
      <c r="Z11" s="1944">
        <f>PL!E117</f>
        <v/>
      </c>
      <c r="AA11" s="1944">
        <f>PL!I117</f>
        <v/>
      </c>
      <c r="AB11" s="1944">
        <f>PL!M117</f>
        <v/>
      </c>
      <c r="AC11" s="1944">
        <f>PL!Q117</f>
        <v/>
      </c>
      <c r="AD11" s="1944">
        <f>PL!U117</f>
        <v/>
      </c>
      <c r="AE11" s="1944">
        <f>PL!Y117</f>
        <v/>
      </c>
      <c r="AF11" s="1973">
        <f>SUBTOTAL(9,Z11:AE11)</f>
        <v/>
      </c>
      <c r="AG11" s="1944">
        <f>PL!AC117</f>
        <v/>
      </c>
      <c r="AH11" s="1944">
        <f>PL!AG117</f>
        <v/>
      </c>
      <c r="AI11" s="1944">
        <f>PL!AK117</f>
        <v/>
      </c>
      <c r="AJ11" s="1944">
        <f>PL!AO117</f>
        <v/>
      </c>
      <c r="AK11" s="1944">
        <f>PL!AS117</f>
        <v/>
      </c>
      <c r="AL11" s="1944">
        <f>PL!AW117</f>
        <v/>
      </c>
      <c r="AM11" s="1973">
        <f>SUBTOTAL(9,AG11:AL11)</f>
        <v/>
      </c>
      <c r="AN11" s="1975">
        <f>SUM(AF11,AM11)</f>
        <v/>
      </c>
    </row>
    <row r="12" spans="1:41">
      <c r="A12" s="1962" t="n">
        <v>3</v>
      </c>
      <c r="B12" s="1963" t="s">
        <v>92</v>
      </c>
      <c r="C12" s="1964" t="s">
        <v>82</v>
      </c>
      <c r="D12" s="1965" t="s">
        <v>83</v>
      </c>
      <c r="E12" s="1966" t="s">
        <v>93</v>
      </c>
      <c r="F12" s="1966" t="s">
        <v>85</v>
      </c>
      <c r="G12" s="1672" t="n">
        <v>39</v>
      </c>
      <c r="H12" s="1672" t="n">
        <v>37</v>
      </c>
      <c r="I12" s="1672" t="n">
        <v>33</v>
      </c>
      <c r="J12" s="1672" t="n">
        <v>33</v>
      </c>
      <c r="K12" s="1672" t="n">
        <v>43</v>
      </c>
      <c r="L12" s="1672" t="n">
        <v>55</v>
      </c>
      <c r="M12" s="1967">
        <f>SUM(G12:L12)</f>
        <v/>
      </c>
      <c r="N12" s="1672" t="n">
        <v>45</v>
      </c>
      <c r="O12" s="1672" t="n">
        <v>45</v>
      </c>
      <c r="P12" s="1672" t="n">
        <v>37</v>
      </c>
      <c r="Q12" s="1672" t="n">
        <v>46</v>
      </c>
      <c r="R12" s="1672" t="n">
        <v>46</v>
      </c>
      <c r="S12" s="1672" t="n">
        <v>45</v>
      </c>
      <c r="T12" s="1967">
        <f>SUM(N12:S12)</f>
        <v/>
      </c>
      <c r="U12" s="1968">
        <f>T12+M12</f>
        <v/>
      </c>
      <c r="V12" s="1969" t="s">
        <v>94</v>
      </c>
      <c r="W12" s="1970" t="n">
        <v>12277</v>
      </c>
      <c r="X12" s="1971" t="n"/>
      <c r="Y12" s="1971" t="n"/>
      <c r="Z12" s="1972" t="n"/>
      <c r="AA12" s="1944" t="n"/>
      <c r="AB12" s="1944" t="n"/>
      <c r="AC12" s="1973" t="n"/>
      <c r="AD12" s="1973" t="n"/>
      <c r="AE12" s="1973" t="n"/>
      <c r="AF12" s="1973" t="n"/>
      <c r="AG12" s="1974" t="n"/>
      <c r="AH12" s="1974" t="n"/>
      <c r="AI12" s="1974" t="n"/>
    </row>
    <row r="13" spans="1:41">
      <c r="A13" s="1962" t="n">
        <v>3</v>
      </c>
      <c r="B13" s="1963" t="s">
        <v>92</v>
      </c>
      <c r="C13" s="1964" t="s">
        <v>82</v>
      </c>
      <c r="D13" s="1965" t="s">
        <v>83</v>
      </c>
      <c r="E13" s="1966" t="s">
        <v>93</v>
      </c>
      <c r="F13" s="1966" t="s">
        <v>87</v>
      </c>
      <c r="G13" s="1672" t="n">
        <v>2</v>
      </c>
      <c r="H13" s="1672" t="n">
        <v>2</v>
      </c>
      <c r="I13" s="1672" t="n">
        <v>2</v>
      </c>
      <c r="J13" s="1672" t="n">
        <v>2</v>
      </c>
      <c r="K13" s="1672" t="n">
        <v>2</v>
      </c>
      <c r="L13" s="1672" t="n">
        <v>2</v>
      </c>
      <c r="M13" s="1967">
        <f>SUM(G13:L13)</f>
        <v/>
      </c>
      <c r="N13" s="1672" t="n">
        <v>2</v>
      </c>
      <c r="O13" s="1672" t="n">
        <v>2</v>
      </c>
      <c r="P13" s="1672" t="n">
        <v>2</v>
      </c>
      <c r="Q13" s="1672" t="n">
        <v>2</v>
      </c>
      <c r="R13" s="1672" t="n">
        <v>2</v>
      </c>
      <c r="S13" s="1672" t="n">
        <v>2</v>
      </c>
      <c r="T13" s="1967">
        <f>SUM(N13:S13)</f>
        <v/>
      </c>
      <c r="U13" s="1968">
        <f>T13+M13</f>
        <v/>
      </c>
      <c r="V13" s="1969" t="s">
        <v>94</v>
      </c>
      <c r="W13" s="1970" t="n">
        <v>12277</v>
      </c>
      <c r="X13" s="1971" t="n"/>
      <c r="Y13" s="1971" t="n"/>
      <c r="Z13" s="1972" t="n"/>
      <c r="AA13" s="1944" t="n"/>
      <c r="AB13" s="1944" t="n"/>
      <c r="AC13" s="1973" t="n"/>
      <c r="AD13" s="1973" t="n"/>
      <c r="AE13" s="1973" t="n"/>
      <c r="AF13" s="1973" t="n"/>
      <c r="AG13" s="1974" t="n"/>
      <c r="AH13" s="1974" t="n"/>
      <c r="AI13" s="1974" t="n"/>
    </row>
    <row r="14" spans="1:41">
      <c r="A14" s="1962" t="n">
        <v>3</v>
      </c>
      <c r="B14" s="1963" t="s">
        <v>92</v>
      </c>
      <c r="C14" s="1964" t="s">
        <v>82</v>
      </c>
      <c r="D14" s="1965" t="s">
        <v>83</v>
      </c>
      <c r="E14" s="1966" t="s">
        <v>93</v>
      </c>
      <c r="F14" s="1966" t="s">
        <v>88</v>
      </c>
      <c r="G14" s="1672" t="n">
        <v>37</v>
      </c>
      <c r="H14" s="1672" t="n">
        <v>35</v>
      </c>
      <c r="I14" s="1672" t="n">
        <v>31</v>
      </c>
      <c r="J14" s="1672" t="n">
        <v>31</v>
      </c>
      <c r="K14" s="1672" t="n">
        <v>41</v>
      </c>
      <c r="L14" s="1672" t="n">
        <v>53</v>
      </c>
      <c r="M14" s="1967">
        <f>SUM(G14:L14)</f>
        <v/>
      </c>
      <c r="N14" s="1672" t="n">
        <v>43</v>
      </c>
      <c r="O14" s="1672" t="n">
        <v>43</v>
      </c>
      <c r="P14" s="1672" t="n">
        <v>35</v>
      </c>
      <c r="Q14" s="1672" t="n">
        <v>44</v>
      </c>
      <c r="R14" s="1672" t="n">
        <v>44</v>
      </c>
      <c r="S14" s="1672" t="n">
        <v>43</v>
      </c>
      <c r="T14" s="1967">
        <f>SUM(N14:S14)</f>
        <v/>
      </c>
      <c r="U14" s="1968">
        <f>T14+M14</f>
        <v/>
      </c>
      <c r="V14" s="1969" t="s">
        <v>94</v>
      </c>
      <c r="W14" s="1970" t="n">
        <v>12277</v>
      </c>
      <c r="X14" s="1971" t="n"/>
      <c r="Y14" s="1971" t="n"/>
      <c r="Z14" s="1972" t="n"/>
      <c r="AA14" s="1944" t="n"/>
      <c r="AB14" s="1944" t="n"/>
      <c r="AC14" s="1973" t="n"/>
      <c r="AD14" s="1973" t="n"/>
      <c r="AE14" s="1973" t="n"/>
      <c r="AF14" s="1973" t="n"/>
      <c r="AG14" s="1974" t="n"/>
      <c r="AH14" s="1974" t="n"/>
      <c r="AI14" s="1974" t="n"/>
    </row>
    <row r="15" spans="1:41">
      <c r="A15" s="1962" t="n">
        <v>3</v>
      </c>
      <c r="B15" s="1963" t="s">
        <v>92</v>
      </c>
      <c r="C15" s="1964" t="s">
        <v>82</v>
      </c>
      <c r="D15" s="1965" t="s">
        <v>83</v>
      </c>
      <c r="E15" s="1966" t="s">
        <v>93</v>
      </c>
      <c r="F15" s="1966" t="s">
        <v>89</v>
      </c>
      <c r="G15" s="1673">
        <f>770199.59-107223</f>
        <v/>
      </c>
      <c r="H15" s="1673">
        <f>770812-148290</f>
        <v/>
      </c>
      <c r="I15" s="1673">
        <f>684176.29-80567</f>
        <v/>
      </c>
      <c r="J15" s="1673">
        <f>667757.97-104717</f>
        <v/>
      </c>
      <c r="K15" s="1672" t="n">
        <v>650021</v>
      </c>
      <c r="L15" s="1672" t="n">
        <v>789407</v>
      </c>
      <c r="M15" s="1967">
        <f>SUM(G15:L15)</f>
        <v/>
      </c>
      <c r="N15" s="1672" t="n">
        <v>660021</v>
      </c>
      <c r="O15" s="1672" t="n">
        <v>660021</v>
      </c>
      <c r="P15" s="1672" t="n">
        <v>572804</v>
      </c>
      <c r="Q15" s="1672" t="n">
        <v>686804</v>
      </c>
      <c r="R15" s="1672" t="n">
        <v>686804</v>
      </c>
      <c r="S15" s="1672" t="n">
        <v>698804</v>
      </c>
      <c r="T15" s="1967">
        <f>SUM(N15:S15)</f>
        <v/>
      </c>
      <c r="U15" s="1968">
        <f>T15+M15</f>
        <v/>
      </c>
      <c r="V15" s="1969" t="s">
        <v>94</v>
      </c>
      <c r="W15" s="1970" t="n">
        <v>12277</v>
      </c>
      <c r="X15" s="1971" t="n"/>
      <c r="Y15" s="1971" t="n"/>
      <c r="Z15" s="1944">
        <f>PL!E69</f>
        <v/>
      </c>
      <c r="AA15" s="1944">
        <f>PL!I69</f>
        <v/>
      </c>
      <c r="AB15" s="1944">
        <f>PL!M69</f>
        <v/>
      </c>
      <c r="AC15" s="1944">
        <f>PL!Q69</f>
        <v/>
      </c>
      <c r="AD15" s="1944">
        <f>PL!U69</f>
        <v/>
      </c>
      <c r="AE15" s="1944">
        <f>PL!Y69</f>
        <v/>
      </c>
      <c r="AF15" s="1973">
        <f>SUBTOTAL(9,Z15:AE15)</f>
        <v/>
      </c>
      <c r="AG15" s="1944">
        <f>PL!AC69</f>
        <v/>
      </c>
      <c r="AH15" s="1944">
        <f>PL!AG69</f>
        <v/>
      </c>
      <c r="AI15" s="1944">
        <f>PL!AK69</f>
        <v/>
      </c>
      <c r="AJ15" s="1944">
        <f>PL!AO69</f>
        <v/>
      </c>
      <c r="AK15" s="1944">
        <f>PL!AS69</f>
        <v/>
      </c>
      <c r="AL15" s="1944">
        <f>PL!AW69</f>
        <v/>
      </c>
      <c r="AM15" s="1973">
        <f>SUBTOTAL(9,AG15:AL15)</f>
        <v/>
      </c>
      <c r="AN15" s="1975">
        <f>SUM(AF15,AM15)</f>
        <v/>
      </c>
    </row>
    <row customFormat="1" r="16" s="1938" spans="1:41">
      <c r="A16" s="1962" t="n">
        <v>4</v>
      </c>
      <c r="B16" s="1976" t="s">
        <v>95</v>
      </c>
      <c r="C16" s="1964" t="s">
        <v>96</v>
      </c>
      <c r="D16" s="1977" t="s">
        <v>97</v>
      </c>
      <c r="E16" s="1978" t="s">
        <v>96</v>
      </c>
      <c r="F16" s="1964" t="s">
        <v>85</v>
      </c>
      <c r="G16" s="1674" t="n">
        <v>1</v>
      </c>
      <c r="H16" s="1674" t="n">
        <v>1</v>
      </c>
      <c r="I16" s="1674" t="n">
        <v>1</v>
      </c>
      <c r="J16" s="1674" t="n">
        <v>1</v>
      </c>
      <c r="K16" s="1674" t="n">
        <v>1</v>
      </c>
      <c r="L16" s="1674" t="n">
        <v>1</v>
      </c>
      <c r="M16" s="1979">
        <f>SUM(G16:L16)</f>
        <v/>
      </c>
      <c r="N16" s="1674" t="n">
        <v>1</v>
      </c>
      <c r="O16" s="1674" t="n">
        <v>1</v>
      </c>
      <c r="P16" s="1674" t="n">
        <v>1</v>
      </c>
      <c r="Q16" s="1674" t="n">
        <v>1</v>
      </c>
      <c r="R16" s="1674" t="n">
        <v>1</v>
      </c>
      <c r="S16" s="1674" t="n">
        <v>1</v>
      </c>
      <c r="T16" s="1979">
        <f>SUM(N16:S16)</f>
        <v/>
      </c>
      <c r="U16" s="1980">
        <f>T16+M16</f>
        <v/>
      </c>
      <c r="V16" s="1981" t="s">
        <v>94</v>
      </c>
      <c r="W16" s="1970" t="n">
        <v>12272</v>
      </c>
      <c r="X16" s="1971" t="n"/>
      <c r="Y16" s="1971" t="n"/>
      <c r="Z16" s="1972" t="n"/>
      <c r="AA16" s="1944" t="n"/>
      <c r="AB16" s="1944" t="s">
        <v>85</v>
      </c>
      <c r="AC16" s="1973" t="n">
        <v>40</v>
      </c>
      <c r="AD16" s="1973">
        <f>U16-AC16</f>
        <v/>
      </c>
      <c r="AE16" s="1973" t="n"/>
      <c r="AF16" s="1973" t="n"/>
      <c r="AG16" s="1974" t="n"/>
      <c r="AH16" s="1974" t="n"/>
      <c r="AI16" s="1974" t="n"/>
    </row>
    <row customFormat="1" r="17" s="1938" spans="1:41">
      <c r="A17" s="1962" t="n">
        <v>4</v>
      </c>
      <c r="B17" s="1976" t="s">
        <v>95</v>
      </c>
      <c r="C17" s="1964" t="s">
        <v>96</v>
      </c>
      <c r="D17" s="1965" t="s">
        <v>97</v>
      </c>
      <c r="E17" s="1966" t="s">
        <v>96</v>
      </c>
      <c r="F17" s="1964" t="s">
        <v>87</v>
      </c>
      <c r="G17" s="1674" t="n">
        <v>0.5</v>
      </c>
      <c r="H17" s="1674" t="n">
        <v>0.5</v>
      </c>
      <c r="I17" s="1674" t="n">
        <v>0.5</v>
      </c>
      <c r="J17" s="1674" t="n">
        <v>0.5</v>
      </c>
      <c r="K17" s="1674" t="n">
        <v>0.5</v>
      </c>
      <c r="L17" s="1674" t="n">
        <v>0.5</v>
      </c>
      <c r="M17" s="1967">
        <f>SUM(G17:L17)</f>
        <v/>
      </c>
      <c r="N17" s="1674" t="n">
        <v>0.5</v>
      </c>
      <c r="O17" s="1674" t="n">
        <v>0.5</v>
      </c>
      <c r="P17" s="1674" t="n">
        <v>0.5</v>
      </c>
      <c r="Q17" s="1674" t="n">
        <v>0.5</v>
      </c>
      <c r="R17" s="1674" t="n">
        <v>0.5</v>
      </c>
      <c r="S17" s="1674" t="n">
        <v>0.5</v>
      </c>
      <c r="T17" s="1967">
        <f>SUM(N17:S17)</f>
        <v/>
      </c>
      <c r="U17" s="1968">
        <f>T17+M17</f>
        <v/>
      </c>
      <c r="V17" s="1969" t="s">
        <v>94</v>
      </c>
      <c r="W17" s="1970" t="n">
        <v>12272</v>
      </c>
      <c r="X17" s="1971" t="n"/>
      <c r="Y17" s="1971" t="n"/>
      <c r="Z17" s="1972" t="n"/>
      <c r="AA17" s="1944" t="n"/>
      <c r="AB17" s="1944" t="s">
        <v>87</v>
      </c>
      <c r="AC17" s="1973" t="n">
        <v>12</v>
      </c>
      <c r="AD17" s="1973">
        <f>U17-AC17</f>
        <v/>
      </c>
      <c r="AE17" s="1973" t="n"/>
      <c r="AF17" s="1973" t="n"/>
      <c r="AG17" s="1974" t="n"/>
      <c r="AH17" s="1974" t="n"/>
      <c r="AI17" s="1974" t="n"/>
    </row>
    <row customFormat="1" r="18" s="1938" spans="1:41">
      <c r="A18" s="1962" t="n">
        <v>4</v>
      </c>
      <c r="B18" s="1976" t="s">
        <v>95</v>
      </c>
      <c r="C18" s="1964" t="s">
        <v>96</v>
      </c>
      <c r="D18" s="1965" t="s">
        <v>97</v>
      </c>
      <c r="E18" s="1966" t="s">
        <v>96</v>
      </c>
      <c r="F18" s="1966" t="s">
        <v>88</v>
      </c>
      <c r="G18" s="1674" t="n">
        <v>1</v>
      </c>
      <c r="H18" s="1674" t="n">
        <v>1</v>
      </c>
      <c r="I18" s="1674" t="n">
        <v>1</v>
      </c>
      <c r="J18" s="1674" t="n">
        <v>1</v>
      </c>
      <c r="K18" s="1674" t="n">
        <v>1</v>
      </c>
      <c r="L18" s="1674" t="n">
        <v>1</v>
      </c>
      <c r="M18" s="1967">
        <f>SUM(G18:L18)</f>
        <v/>
      </c>
      <c r="N18" s="1674" t="n">
        <v>1</v>
      </c>
      <c r="O18" s="1674" t="n">
        <v>1</v>
      </c>
      <c r="P18" s="1674" t="n">
        <v>1</v>
      </c>
      <c r="Q18" s="1674" t="n">
        <v>1</v>
      </c>
      <c r="R18" s="1674" t="n">
        <v>1</v>
      </c>
      <c r="S18" s="1674" t="n">
        <v>1</v>
      </c>
      <c r="T18" s="1967">
        <f>SUM(N18:S18)</f>
        <v/>
      </c>
      <c r="U18" s="1968">
        <f>T18+M18</f>
        <v/>
      </c>
      <c r="V18" s="1969" t="s">
        <v>94</v>
      </c>
      <c r="W18" s="1970" t="n">
        <v>12272</v>
      </c>
      <c r="X18" s="1971" t="n"/>
      <c r="Y18" s="1971" t="n"/>
      <c r="Z18" s="1972" t="n"/>
      <c r="AA18" s="1944" t="n"/>
      <c r="AB18" s="1944" t="s">
        <v>88</v>
      </c>
      <c r="AC18" s="1973" t="n">
        <v>28</v>
      </c>
      <c r="AD18" s="1973">
        <f>U18-AC18</f>
        <v/>
      </c>
      <c r="AE18" s="1973" t="n"/>
      <c r="AF18" s="1973" t="n"/>
      <c r="AG18" s="1974" t="n"/>
      <c r="AH18" s="1974" t="n"/>
      <c r="AI18" s="1974" t="n"/>
    </row>
    <row customFormat="1" r="19" s="1938" spans="1:41">
      <c r="A19" s="1962" t="n">
        <v>4</v>
      </c>
      <c r="B19" s="1976" t="s">
        <v>95</v>
      </c>
      <c r="C19" s="1964" t="s">
        <v>96</v>
      </c>
      <c r="D19" s="1965" t="s">
        <v>97</v>
      </c>
      <c r="E19" s="1966" t="s">
        <v>96</v>
      </c>
      <c r="F19" s="1966" t="s">
        <v>89</v>
      </c>
      <c r="G19" s="1675" t="n">
        <v>47101</v>
      </c>
      <c r="H19" s="1675" t="n">
        <v>57992.59</v>
      </c>
      <c r="I19" s="1675" t="n">
        <v>48010.05</v>
      </c>
      <c r="J19" s="1674" t="n">
        <v>47667.78</v>
      </c>
      <c r="K19" s="1674" t="n">
        <v>46683</v>
      </c>
      <c r="L19" s="1674" t="n">
        <v>46683</v>
      </c>
      <c r="M19" s="1967">
        <f>SUM(G19:L19)</f>
        <v/>
      </c>
      <c r="N19" s="1674" t="n">
        <v>46683</v>
      </c>
      <c r="O19" s="1674" t="n">
        <v>46683</v>
      </c>
      <c r="P19" s="1674" t="n">
        <v>46683</v>
      </c>
      <c r="Q19" s="1674" t="n">
        <v>46683</v>
      </c>
      <c r="R19" s="1674" t="n">
        <v>46683</v>
      </c>
      <c r="S19" s="1674" t="n">
        <v>46683</v>
      </c>
      <c r="T19" s="1967">
        <f>SUM(N19:S19)</f>
        <v/>
      </c>
      <c r="U19" s="1968">
        <f>T19+M19</f>
        <v/>
      </c>
      <c r="V19" s="1969" t="s">
        <v>94</v>
      </c>
      <c r="W19" s="1970" t="n">
        <v>12272</v>
      </c>
      <c r="X19" s="1971" t="n"/>
      <c r="Y19" s="1971" t="n"/>
      <c r="Z19" s="1944">
        <f>PL!E166</f>
        <v/>
      </c>
      <c r="AA19" s="1944">
        <f>PL!I166</f>
        <v/>
      </c>
      <c r="AB19" s="1944">
        <f>PL!M166</f>
        <v/>
      </c>
      <c r="AC19" s="1944">
        <f>PL!Q166</f>
        <v/>
      </c>
      <c r="AD19" s="1944">
        <f>PL!U166</f>
        <v/>
      </c>
      <c r="AE19" s="1944">
        <f>PL!Y166</f>
        <v/>
      </c>
      <c r="AF19" s="1973">
        <f>SUBTOTAL(9,Z19:AE19)</f>
        <v/>
      </c>
      <c r="AG19" s="1944">
        <f>PL!AC166</f>
        <v/>
      </c>
      <c r="AH19" s="1944">
        <f>PL!AG166</f>
        <v/>
      </c>
      <c r="AI19" s="1944">
        <f>PL!AK166</f>
        <v/>
      </c>
      <c r="AJ19" s="1944">
        <f>PL!AO166</f>
        <v/>
      </c>
      <c r="AK19" s="1944">
        <f>PL!AS166</f>
        <v/>
      </c>
      <c r="AL19" s="1944">
        <f>PL!AW166</f>
        <v/>
      </c>
      <c r="AM19" s="1973">
        <f>SUBTOTAL(9,AG19:AL19)</f>
        <v/>
      </c>
      <c r="AN19" s="1975">
        <f>SUM(AF19,AM19)</f>
        <v/>
      </c>
    </row>
    <row customFormat="1" r="20" s="1938" spans="1:41">
      <c r="A20" s="1962" t="n">
        <v>5</v>
      </c>
      <c r="B20" s="1982" t="s">
        <v>98</v>
      </c>
      <c r="C20" s="1964" t="s">
        <v>99</v>
      </c>
      <c r="D20" s="1965" t="s">
        <v>100</v>
      </c>
      <c r="E20" s="1966" t="s">
        <v>99</v>
      </c>
      <c r="F20" s="1966" t="s">
        <v>85</v>
      </c>
      <c r="G20" s="1672" t="n">
        <v>7</v>
      </c>
      <c r="H20" s="1672" t="n">
        <v>7</v>
      </c>
      <c r="I20" s="1672" t="n">
        <v>7</v>
      </c>
      <c r="J20" s="1672" t="n">
        <v>7</v>
      </c>
      <c r="K20" s="1672" t="n">
        <v>7</v>
      </c>
      <c r="L20" s="1672" t="n">
        <v>7</v>
      </c>
      <c r="M20" s="1967">
        <f>SUM(G20:L20)</f>
        <v/>
      </c>
      <c r="N20" s="1672" t="n">
        <v>7</v>
      </c>
      <c r="O20" s="1672" t="n">
        <v>7</v>
      </c>
      <c r="P20" s="1672" t="n">
        <v>7</v>
      </c>
      <c r="Q20" s="1672" t="n">
        <v>7</v>
      </c>
      <c r="R20" s="1672" t="n">
        <v>7</v>
      </c>
      <c r="S20" s="1672" t="n">
        <v>7</v>
      </c>
      <c r="T20" s="1967">
        <f>SUM(N20:S20)</f>
        <v/>
      </c>
      <c r="U20" s="1968">
        <f>T20+M20</f>
        <v/>
      </c>
      <c r="V20" s="1969" t="s">
        <v>94</v>
      </c>
      <c r="W20" s="1970" t="n">
        <v>12272</v>
      </c>
      <c r="X20" s="1971" t="n"/>
      <c r="Y20" s="1971" t="n"/>
      <c r="Z20" s="1972" t="n"/>
      <c r="AB20" s="1938" t="s">
        <v>85</v>
      </c>
      <c r="AC20" s="1973" t="n">
        <v>203.5</v>
      </c>
      <c r="AD20" s="1973">
        <f>U20-AC20</f>
        <v/>
      </c>
      <c r="AE20" s="1973" t="n"/>
      <c r="AF20" s="1973" t="n"/>
      <c r="AG20" s="1974" t="n"/>
      <c r="AH20" s="1974" t="n"/>
      <c r="AI20" s="1974" t="n"/>
    </row>
    <row customFormat="1" r="21" s="1938" spans="1:41">
      <c r="A21" s="1962" t="n">
        <v>5</v>
      </c>
      <c r="B21" s="1982" t="s">
        <v>98</v>
      </c>
      <c r="C21" s="1964" t="s">
        <v>99</v>
      </c>
      <c r="D21" s="1965" t="s">
        <v>100</v>
      </c>
      <c r="E21" s="1966" t="s">
        <v>99</v>
      </c>
      <c r="F21" s="1966" t="s">
        <v>87</v>
      </c>
      <c r="G21" s="1672" t="n">
        <v>0.5</v>
      </c>
      <c r="H21" s="1672" t="n">
        <v>0.5</v>
      </c>
      <c r="I21" s="1672" t="n">
        <v>0.5</v>
      </c>
      <c r="J21" s="1672" t="n">
        <v>0.5</v>
      </c>
      <c r="K21" s="1672" t="n">
        <v>0.5</v>
      </c>
      <c r="L21" s="1672" t="n">
        <v>0.5</v>
      </c>
      <c r="M21" s="1967">
        <f>SUM(G21:L21)</f>
        <v/>
      </c>
      <c r="N21" s="1672" t="n">
        <v>0.5</v>
      </c>
      <c r="O21" s="1672" t="n">
        <v>0.5</v>
      </c>
      <c r="P21" s="1672" t="n">
        <v>0.5</v>
      </c>
      <c r="Q21" s="1672" t="n">
        <v>0.5</v>
      </c>
      <c r="R21" s="1672" t="n">
        <v>0.5</v>
      </c>
      <c r="S21" s="1672" t="n">
        <v>0.5</v>
      </c>
      <c r="T21" s="1967">
        <f>SUM(N21:S21)</f>
        <v/>
      </c>
      <c r="U21" s="1968">
        <f>T21+M21</f>
        <v/>
      </c>
      <c r="V21" s="1969" t="s">
        <v>94</v>
      </c>
      <c r="W21" s="1970" t="n">
        <v>12272</v>
      </c>
      <c r="X21" s="1971" t="n"/>
      <c r="Y21" s="1971" t="n"/>
      <c r="Z21" s="1972" t="n"/>
      <c r="AB21" s="1944" t="s">
        <v>87</v>
      </c>
      <c r="AC21" s="1973" t="n">
        <v>59.5</v>
      </c>
      <c r="AD21" s="1973">
        <f>U21-AC21</f>
        <v/>
      </c>
      <c r="AE21" s="1973" t="n"/>
      <c r="AF21" s="1973" t="n"/>
      <c r="AG21" s="1974" t="n"/>
      <c r="AH21" s="1974" t="n"/>
      <c r="AI21" s="1974" t="n"/>
    </row>
    <row customFormat="1" r="22" s="1938" spans="1:41">
      <c r="A22" s="1962" t="n">
        <v>5</v>
      </c>
      <c r="B22" s="1982" t="s">
        <v>98</v>
      </c>
      <c r="C22" s="1964" t="s">
        <v>99</v>
      </c>
      <c r="D22" s="1965" t="s">
        <v>100</v>
      </c>
      <c r="E22" s="1966" t="s">
        <v>99</v>
      </c>
      <c r="F22" s="1966" t="s">
        <v>88</v>
      </c>
      <c r="G22" s="1672" t="n">
        <v>6</v>
      </c>
      <c r="H22" s="1672" t="n">
        <v>6</v>
      </c>
      <c r="I22" s="1672" t="n">
        <v>6</v>
      </c>
      <c r="J22" s="1672" t="n">
        <v>6</v>
      </c>
      <c r="K22" s="1672" t="n">
        <v>6</v>
      </c>
      <c r="L22" s="1672" t="n">
        <v>6</v>
      </c>
      <c r="M22" s="1967">
        <f>SUM(G22:L22)</f>
        <v/>
      </c>
      <c r="N22" s="1672" t="n">
        <v>6</v>
      </c>
      <c r="O22" s="1672" t="n">
        <v>6</v>
      </c>
      <c r="P22" s="1672" t="n">
        <v>6</v>
      </c>
      <c r="Q22" s="1672" t="n">
        <v>6</v>
      </c>
      <c r="R22" s="1672" t="n">
        <v>6</v>
      </c>
      <c r="S22" s="1672" t="n">
        <v>6</v>
      </c>
      <c r="T22" s="1967">
        <f>SUM(N22:S22)</f>
        <v/>
      </c>
      <c r="U22" s="1968">
        <f>T22+M22</f>
        <v/>
      </c>
      <c r="V22" s="1969" t="s">
        <v>94</v>
      </c>
      <c r="W22" s="1970" t="n">
        <v>12272</v>
      </c>
      <c r="X22" s="1971" t="n"/>
      <c r="Y22" s="1971" t="n"/>
      <c r="Z22" s="1972" t="n"/>
      <c r="AB22" s="1938" t="s">
        <v>88</v>
      </c>
      <c r="AC22" s="1973" t="n">
        <v>144</v>
      </c>
      <c r="AD22" s="1973">
        <f>U22-AC22</f>
        <v/>
      </c>
      <c r="AE22" s="1973" t="n"/>
      <c r="AF22" s="1973" t="n"/>
      <c r="AG22" s="1974" t="n"/>
      <c r="AH22" s="1974" t="n"/>
      <c r="AI22" s="1974" t="n"/>
    </row>
    <row customFormat="1" r="23" s="1938" spans="1:41">
      <c r="A23" s="1962" t="n">
        <v>5</v>
      </c>
      <c r="B23" s="1982" t="s">
        <v>98</v>
      </c>
      <c r="C23" s="1964" t="s">
        <v>99</v>
      </c>
      <c r="D23" s="1983" t="s">
        <v>100</v>
      </c>
      <c r="E23" s="1964" t="s">
        <v>99</v>
      </c>
      <c r="F23" s="1984" t="s">
        <v>89</v>
      </c>
      <c r="G23" s="1673" t="n">
        <v>199320.27</v>
      </c>
      <c r="H23" s="1673" t="n">
        <v>199006.76</v>
      </c>
      <c r="I23" s="1673" t="n">
        <v>202838.49</v>
      </c>
      <c r="J23" s="1673" t="n">
        <v>202204.66</v>
      </c>
      <c r="K23" s="1672" t="n">
        <v>197137</v>
      </c>
      <c r="L23" s="1672" t="n">
        <v>197137</v>
      </c>
      <c r="M23" s="1985">
        <f>SUM(G23:L23)</f>
        <v/>
      </c>
      <c r="N23" s="1672" t="n">
        <v>197137</v>
      </c>
      <c r="O23" s="1672" t="n">
        <v>197137</v>
      </c>
      <c r="P23" s="1672" t="n">
        <v>197137</v>
      </c>
      <c r="Q23" s="1672" t="n">
        <v>197137</v>
      </c>
      <c r="R23" s="1672" t="n">
        <v>197137</v>
      </c>
      <c r="S23" s="1672" t="n">
        <v>197137</v>
      </c>
      <c r="T23" s="1985">
        <f>SUM(N23:S23)</f>
        <v/>
      </c>
      <c r="U23" s="1986">
        <f>T23+M23</f>
        <v/>
      </c>
      <c r="V23" s="1987" t="s">
        <v>94</v>
      </c>
      <c r="W23" s="1970" t="n">
        <v>12272</v>
      </c>
      <c r="X23" s="1971" t="n"/>
      <c r="Y23" s="1971" t="n"/>
      <c r="Z23" s="1944">
        <f>PL!E190</f>
        <v/>
      </c>
      <c r="AA23" s="1944">
        <f>PL!I190</f>
        <v/>
      </c>
      <c r="AB23" s="1944">
        <f>PL!M190</f>
        <v/>
      </c>
      <c r="AC23" s="1944">
        <f>PL!Q190</f>
        <v/>
      </c>
      <c r="AD23" s="1944">
        <f>PL!U190</f>
        <v/>
      </c>
      <c r="AE23" s="1944">
        <f>PL!Y190</f>
        <v/>
      </c>
      <c r="AF23" s="1973">
        <f>SUBTOTAL(9,Z23:AE23)</f>
        <v/>
      </c>
      <c r="AG23" s="1944">
        <f>PL!AC190</f>
        <v/>
      </c>
      <c r="AH23" s="1944">
        <f>PL!AG190</f>
        <v/>
      </c>
      <c r="AI23" s="1944">
        <f>PL!AK190</f>
        <v/>
      </c>
      <c r="AJ23" s="1944">
        <f>PL!AO190</f>
        <v/>
      </c>
      <c r="AK23" s="1944">
        <f>PL!AS190</f>
        <v/>
      </c>
      <c r="AL23" s="1944">
        <f>PL!AW190</f>
        <v/>
      </c>
      <c r="AM23" s="1973">
        <f>SUBTOTAL(9,AG23:AL23)</f>
        <v/>
      </c>
      <c r="AN23" s="1975">
        <f>SUM(AF23,AM23)</f>
        <v/>
      </c>
    </row>
    <row customFormat="1" r="24" s="1938" spans="1:41">
      <c r="A24" s="1962" t="n">
        <v>6</v>
      </c>
      <c r="B24" s="1976" t="s">
        <v>101</v>
      </c>
      <c r="C24" s="1964" t="s">
        <v>102</v>
      </c>
      <c r="D24" s="1977" t="s">
        <v>103</v>
      </c>
      <c r="E24" s="1978" t="s">
        <v>102</v>
      </c>
      <c r="F24" s="1964" t="s">
        <v>85</v>
      </c>
      <c r="G24" s="1674" t="n">
        <v>2</v>
      </c>
      <c r="H24" s="1674" t="n">
        <v>2</v>
      </c>
      <c r="I24" s="1674" t="n">
        <v>2</v>
      </c>
      <c r="J24" s="1674" t="n">
        <v>0</v>
      </c>
      <c r="K24" s="1674" t="n">
        <v>0</v>
      </c>
      <c r="L24" s="1674" t="n">
        <v>0</v>
      </c>
      <c r="M24" s="1979">
        <f>SUM(G24:L24)</f>
        <v/>
      </c>
      <c r="N24" s="1674" t="n">
        <v>0</v>
      </c>
      <c r="O24" s="1674" t="n">
        <v>0</v>
      </c>
      <c r="P24" s="1674" t="n">
        <v>0</v>
      </c>
      <c r="Q24" s="1674" t="n">
        <v>0</v>
      </c>
      <c r="R24" s="1674" t="n">
        <v>0</v>
      </c>
      <c r="S24" s="1674" t="n">
        <v>0</v>
      </c>
      <c r="T24" s="1979">
        <f>SUM(N24:S24)</f>
        <v/>
      </c>
      <c r="U24" s="1980">
        <f>T24+M24</f>
        <v/>
      </c>
      <c r="V24" s="1981" t="s">
        <v>104</v>
      </c>
      <c r="W24" s="1970" t="n">
        <v>12272</v>
      </c>
      <c r="X24" s="1971" t="n"/>
      <c r="Y24" s="1971" t="n"/>
      <c r="Z24" s="1972" t="n"/>
      <c r="AA24" s="1944" t="n"/>
      <c r="AB24" s="1944" t="s">
        <v>85</v>
      </c>
      <c r="AC24" s="1973" t="n">
        <v>72</v>
      </c>
      <c r="AD24" s="1973">
        <f>U24-AC24</f>
        <v/>
      </c>
      <c r="AE24" s="1973" t="n"/>
      <c r="AF24" s="1973" t="n"/>
      <c r="AG24" s="1974" t="n"/>
      <c r="AH24" s="1974" t="n"/>
      <c r="AI24" s="1974" t="n"/>
    </row>
    <row customFormat="1" r="25" s="1938" spans="1:41">
      <c r="A25" s="1962" t="n">
        <v>6</v>
      </c>
      <c r="B25" s="1976" t="s">
        <v>101</v>
      </c>
      <c r="C25" s="1964" t="s">
        <v>102</v>
      </c>
      <c r="D25" s="1965" t="s">
        <v>103</v>
      </c>
      <c r="E25" s="1966" t="s">
        <v>102</v>
      </c>
      <c r="F25" s="1964" t="s">
        <v>87</v>
      </c>
      <c r="G25" s="1674" t="n">
        <v>1</v>
      </c>
      <c r="H25" s="1674" t="n">
        <v>1</v>
      </c>
      <c r="I25" s="1674" t="n">
        <v>1</v>
      </c>
      <c r="J25" s="1674" t="n">
        <v>0</v>
      </c>
      <c r="K25" s="1674" t="n">
        <v>0</v>
      </c>
      <c r="L25" s="1674" t="n">
        <v>0</v>
      </c>
      <c r="M25" s="1967">
        <f>SUM(G25:L25)</f>
        <v/>
      </c>
      <c r="N25" s="1674" t="n">
        <v>0</v>
      </c>
      <c r="O25" s="1674" t="n">
        <v>0</v>
      </c>
      <c r="P25" s="1674" t="n">
        <v>0</v>
      </c>
      <c r="Q25" s="1674" t="n">
        <v>0</v>
      </c>
      <c r="R25" s="1674" t="n">
        <v>0</v>
      </c>
      <c r="S25" s="1674" t="n">
        <v>0</v>
      </c>
      <c r="T25" s="1967">
        <f>SUM(N25:S25)</f>
        <v/>
      </c>
      <c r="U25" s="1968">
        <f>T25+M25</f>
        <v/>
      </c>
      <c r="V25" s="1969" t="s">
        <v>104</v>
      </c>
      <c r="W25" s="1970" t="n">
        <v>12272</v>
      </c>
      <c r="X25" s="1971" t="n"/>
      <c r="Y25" s="1971" t="n"/>
      <c r="Z25" s="1972" t="n"/>
      <c r="AA25" s="1944" t="n"/>
      <c r="AB25" s="1944" t="s">
        <v>87</v>
      </c>
      <c r="AC25" s="1973" t="n">
        <v>24</v>
      </c>
      <c r="AD25" s="1973">
        <f>U25-AC25</f>
        <v/>
      </c>
      <c r="AE25" s="1973" t="n"/>
      <c r="AF25" s="1973" t="n"/>
      <c r="AG25" s="1974" t="n"/>
      <c r="AH25" s="1974" t="n"/>
      <c r="AI25" s="1974" t="n"/>
    </row>
    <row customFormat="1" r="26" s="1938" spans="1:41">
      <c r="A26" s="1962" t="n">
        <v>6</v>
      </c>
      <c r="B26" s="1976" t="s">
        <v>101</v>
      </c>
      <c r="C26" s="1964" t="s">
        <v>102</v>
      </c>
      <c r="D26" s="1965" t="s">
        <v>103</v>
      </c>
      <c r="E26" s="1966" t="s">
        <v>102</v>
      </c>
      <c r="F26" s="1966" t="s">
        <v>88</v>
      </c>
      <c r="G26" s="1674" t="n">
        <v>2</v>
      </c>
      <c r="H26" s="1674" t="n">
        <v>2</v>
      </c>
      <c r="I26" s="1674" t="n">
        <v>1</v>
      </c>
      <c r="J26" s="1674" t="n">
        <v>0</v>
      </c>
      <c r="K26" s="1674" t="n">
        <v>0</v>
      </c>
      <c r="L26" s="1674" t="n">
        <v>0</v>
      </c>
      <c r="M26" s="1967">
        <f>SUM(G26:L26)</f>
        <v/>
      </c>
      <c r="N26" s="1674" t="n">
        <v>0</v>
      </c>
      <c r="O26" s="1674" t="n">
        <v>0</v>
      </c>
      <c r="P26" s="1674" t="n">
        <v>0</v>
      </c>
      <c r="Q26" s="1674" t="n">
        <v>0</v>
      </c>
      <c r="R26" s="1674" t="n">
        <v>0</v>
      </c>
      <c r="S26" s="1674" t="n">
        <v>0</v>
      </c>
      <c r="T26" s="1967">
        <f>SUM(N26:S26)</f>
        <v/>
      </c>
      <c r="U26" s="1968">
        <f>T26+M26</f>
        <v/>
      </c>
      <c r="V26" s="1969" t="s">
        <v>104</v>
      </c>
      <c r="W26" s="1970" t="n">
        <v>12272</v>
      </c>
      <c r="X26" s="1971" t="n"/>
      <c r="Y26" s="1971" t="n"/>
      <c r="Z26" s="1972" t="n"/>
      <c r="AA26" s="1944" t="n"/>
      <c r="AB26" s="1944" t="s">
        <v>88</v>
      </c>
      <c r="AC26" s="1973" t="n">
        <v>48</v>
      </c>
      <c r="AD26" s="1973">
        <f>U26-AC26</f>
        <v/>
      </c>
      <c r="AE26" s="1973" t="n"/>
      <c r="AF26" s="1973" t="n"/>
      <c r="AG26" s="1974" t="n"/>
      <c r="AH26" s="1974" t="n"/>
      <c r="AI26" s="1974" t="n"/>
    </row>
    <row customFormat="1" r="27" s="1938" spans="1:41">
      <c r="A27" s="1962" t="n">
        <v>6</v>
      </c>
      <c r="B27" s="1976" t="s">
        <v>101</v>
      </c>
      <c r="C27" s="1964" t="s">
        <v>102</v>
      </c>
      <c r="D27" s="1965" t="s">
        <v>103</v>
      </c>
      <c r="E27" s="1966" t="s">
        <v>102</v>
      </c>
      <c r="F27" s="1966" t="s">
        <v>89</v>
      </c>
      <c r="G27" s="1675" t="n">
        <v>124129.83</v>
      </c>
      <c r="H27" s="1675" t="n">
        <v>122816.52</v>
      </c>
      <c r="I27" s="1675" t="n">
        <v>125192.69</v>
      </c>
      <c r="J27" s="1674" t="n">
        <v>0</v>
      </c>
      <c r="K27" s="1674" t="n">
        <v>0</v>
      </c>
      <c r="L27" s="1674" t="n">
        <v>0</v>
      </c>
      <c r="M27" s="1967">
        <f>SUM(G27:L27)</f>
        <v/>
      </c>
      <c r="N27" s="1674" t="n">
        <v>0</v>
      </c>
      <c r="O27" s="1674" t="n">
        <v>0</v>
      </c>
      <c r="P27" s="1674" t="n">
        <v>0</v>
      </c>
      <c r="Q27" s="1674" t="n">
        <v>0</v>
      </c>
      <c r="R27" s="1674" t="n">
        <v>0</v>
      </c>
      <c r="S27" s="1674" t="n">
        <v>0</v>
      </c>
      <c r="T27" s="1967">
        <f>SUM(N27:S27)</f>
        <v/>
      </c>
      <c r="U27" s="1968">
        <f>T27+M27</f>
        <v/>
      </c>
      <c r="V27" s="1969" t="s">
        <v>104</v>
      </c>
      <c r="W27" s="1970" t="n">
        <v>12272</v>
      </c>
      <c r="X27" s="1971" t="n"/>
      <c r="Y27" s="1971" t="n"/>
      <c r="Z27" s="1944">
        <f>PL!E238</f>
        <v/>
      </c>
      <c r="AA27" s="1944">
        <f>PL!I238</f>
        <v/>
      </c>
      <c r="AB27" s="1944">
        <f>PL!M238</f>
        <v/>
      </c>
      <c r="AC27" s="1944">
        <f>PL!Q238</f>
        <v/>
      </c>
      <c r="AD27" s="1944">
        <f>PL!U238</f>
        <v/>
      </c>
      <c r="AE27" s="1944">
        <f>PL!Y238</f>
        <v/>
      </c>
      <c r="AF27" s="1973">
        <f>SUBTOTAL(9,Z27:AE27)</f>
        <v/>
      </c>
      <c r="AG27" s="1944">
        <f>PL!AC238</f>
        <v/>
      </c>
      <c r="AH27" s="1944">
        <f>PL!AG238</f>
        <v/>
      </c>
      <c r="AI27" s="1944">
        <f>PL!AK238</f>
        <v/>
      </c>
      <c r="AJ27" s="1944">
        <f>PL!AO238</f>
        <v/>
      </c>
      <c r="AK27" s="1944">
        <f>PL!AS238</f>
        <v/>
      </c>
      <c r="AL27" s="1944">
        <f>PL!AW238</f>
        <v/>
      </c>
      <c r="AM27" s="1973">
        <f>SUBTOTAL(9,AG27:AL27)</f>
        <v/>
      </c>
      <c r="AN27" s="1975">
        <f>SUM(AF27,AM27)</f>
        <v/>
      </c>
    </row>
    <row customFormat="1" r="28" s="1938" spans="1:41">
      <c r="A28" s="1962" t="n">
        <v>7</v>
      </c>
      <c r="B28" s="1963" t="s">
        <v>105</v>
      </c>
      <c r="C28" s="1964" t="s">
        <v>105</v>
      </c>
      <c r="D28" s="1965" t="s">
        <v>106</v>
      </c>
      <c r="E28" s="1966" t="s">
        <v>105</v>
      </c>
      <c r="F28" s="1966" t="s">
        <v>85</v>
      </c>
      <c r="G28" s="1672" t="n">
        <v>24</v>
      </c>
      <c r="H28" s="1672">
        <f>SUM(H29:H30)</f>
        <v/>
      </c>
      <c r="I28" s="1672" t="n">
        <v>22</v>
      </c>
      <c r="J28" s="1672" t="n">
        <v>25</v>
      </c>
      <c r="K28" s="1672" t="n">
        <v>25</v>
      </c>
      <c r="L28" s="1672" t="n">
        <v>25</v>
      </c>
      <c r="M28" s="1967">
        <f>SUM(G28:L28)</f>
        <v/>
      </c>
      <c r="N28" s="1672" t="n">
        <v>28</v>
      </c>
      <c r="O28" s="1672" t="n">
        <v>28</v>
      </c>
      <c r="P28" s="1672" t="n">
        <v>28</v>
      </c>
      <c r="Q28" s="1672" t="n">
        <v>31</v>
      </c>
      <c r="R28" s="1672" t="n">
        <v>31</v>
      </c>
      <c r="S28" s="1672" t="n">
        <v>31</v>
      </c>
      <c r="T28" s="1967">
        <f>SUM(N28:S28)</f>
        <v/>
      </c>
      <c r="U28" s="1968">
        <f>T28+M28</f>
        <v/>
      </c>
      <c r="V28" s="1969" t="s">
        <v>107</v>
      </c>
      <c r="W28" s="1988" t="n">
        <v>12278</v>
      </c>
      <c r="X28" s="1971" t="n"/>
      <c r="Y28" s="1971" t="n"/>
      <c r="Z28" s="1972" t="n"/>
      <c r="AB28" s="1938" t="s">
        <v>85</v>
      </c>
      <c r="AC28" s="1973" t="n">
        <v>236</v>
      </c>
      <c r="AD28" s="1973">
        <f>U28-AC28</f>
        <v/>
      </c>
      <c r="AE28" s="1973" t="n"/>
      <c r="AF28" s="1973" t="n"/>
      <c r="AG28" s="1974" t="n"/>
      <c r="AH28" s="1974" t="n"/>
      <c r="AI28" s="1974" t="n"/>
    </row>
    <row customFormat="1" r="29" s="1938" spans="1:41">
      <c r="A29" s="1962" t="n">
        <v>7</v>
      </c>
      <c r="B29" s="1963" t="s">
        <v>105</v>
      </c>
      <c r="C29" s="1964" t="s">
        <v>105</v>
      </c>
      <c r="D29" s="1965" t="s">
        <v>106</v>
      </c>
      <c r="E29" s="1966" t="s">
        <v>105</v>
      </c>
      <c r="F29" s="1966" t="s">
        <v>87</v>
      </c>
      <c r="G29" s="1672" t="n">
        <v>6</v>
      </c>
      <c r="H29" s="1672">
        <f>G29</f>
        <v/>
      </c>
      <c r="I29" s="1672" t="n">
        <v>7</v>
      </c>
      <c r="J29" s="1672" t="n">
        <v>7</v>
      </c>
      <c r="K29" s="1672">
        <f>J29</f>
        <v/>
      </c>
      <c r="L29" s="1672">
        <f>K29</f>
        <v/>
      </c>
      <c r="M29" s="1967">
        <f>SUM(G29:L29)</f>
        <v/>
      </c>
      <c r="N29" s="1672" t="n">
        <v>8</v>
      </c>
      <c r="O29" s="1672" t="n">
        <v>8</v>
      </c>
      <c r="P29" s="1672" t="n">
        <v>8</v>
      </c>
      <c r="Q29" s="1672" t="n">
        <v>9</v>
      </c>
      <c r="R29" s="1672" t="n">
        <v>9</v>
      </c>
      <c r="S29" s="1672" t="n">
        <v>9</v>
      </c>
      <c r="T29" s="1967">
        <f>SUM(N29:S29)</f>
        <v/>
      </c>
      <c r="U29" s="1968">
        <f>T29+M29</f>
        <v/>
      </c>
      <c r="V29" s="1969" t="s">
        <v>107</v>
      </c>
      <c r="W29" s="1988" t="n">
        <v>12278</v>
      </c>
      <c r="X29" s="1971" t="n"/>
      <c r="Y29" s="1971" t="n"/>
      <c r="Z29" s="1972" t="n"/>
      <c r="AB29" s="1944" t="s">
        <v>87</v>
      </c>
      <c r="AC29" s="1973" t="n">
        <v>57</v>
      </c>
      <c r="AD29" s="1973">
        <f>U29-AC29</f>
        <v/>
      </c>
      <c r="AE29" s="1973" t="n"/>
      <c r="AF29" s="1973" t="n"/>
      <c r="AG29" s="1974" t="n"/>
      <c r="AH29" s="1974" t="n"/>
      <c r="AI29" s="1974" t="n"/>
    </row>
    <row customFormat="1" r="30" s="1938" spans="1:41">
      <c r="A30" s="1962" t="n">
        <v>7</v>
      </c>
      <c r="B30" s="1963" t="s">
        <v>105</v>
      </c>
      <c r="C30" s="1964" t="s">
        <v>105</v>
      </c>
      <c r="D30" s="1965" t="s">
        <v>106</v>
      </c>
      <c r="E30" s="1966" t="s">
        <v>105</v>
      </c>
      <c r="F30" s="1966" t="s">
        <v>88</v>
      </c>
      <c r="G30" s="1672" t="n">
        <v>17</v>
      </c>
      <c r="H30" s="1672" t="n">
        <v>17</v>
      </c>
      <c r="I30" s="1672" t="n">
        <v>15</v>
      </c>
      <c r="J30" s="1672" t="n">
        <v>17</v>
      </c>
      <c r="K30" s="1672">
        <f>J30-1</f>
        <v/>
      </c>
      <c r="L30" s="1672">
        <f>K30-1+2</f>
        <v/>
      </c>
      <c r="M30" s="1967">
        <f>SUM(G30:L30)</f>
        <v/>
      </c>
      <c r="N30" s="1672" t="n">
        <v>20</v>
      </c>
      <c r="O30" s="1672" t="n">
        <v>20</v>
      </c>
      <c r="P30" s="1672" t="n">
        <v>20</v>
      </c>
      <c r="Q30" s="1672" t="n">
        <v>22</v>
      </c>
      <c r="R30" s="1672" t="n">
        <v>22</v>
      </c>
      <c r="S30" s="1672" t="n">
        <v>22</v>
      </c>
      <c r="T30" s="1967">
        <f>SUM(N30:S30)</f>
        <v/>
      </c>
      <c r="U30" s="1968">
        <f>T30+M30</f>
        <v/>
      </c>
      <c r="V30" s="1969" t="s">
        <v>107</v>
      </c>
      <c r="W30" s="1988" t="n">
        <v>12278</v>
      </c>
      <c r="X30" s="1971" t="n"/>
      <c r="Y30" s="1971" t="n"/>
      <c r="Z30" s="1972" t="n"/>
      <c r="AB30" s="1938" t="s">
        <v>88</v>
      </c>
      <c r="AC30" s="1973" t="n">
        <v>179</v>
      </c>
      <c r="AD30" s="1973">
        <f>U30-AC30</f>
        <v/>
      </c>
      <c r="AE30" s="1973" t="n"/>
      <c r="AF30" s="1973" t="n"/>
      <c r="AG30" s="1974" t="n"/>
      <c r="AH30" s="1974" t="n"/>
      <c r="AI30" s="1974" t="n"/>
    </row>
    <row customFormat="1" r="31" s="1938" spans="1:41">
      <c r="A31" s="1962" t="n">
        <v>7</v>
      </c>
      <c r="B31" s="1963" t="s">
        <v>105</v>
      </c>
      <c r="C31" s="1964" t="s">
        <v>105</v>
      </c>
      <c r="D31" s="1965" t="s">
        <v>106</v>
      </c>
      <c r="E31" s="1966" t="s">
        <v>105</v>
      </c>
      <c r="F31" s="1966" t="s">
        <v>89</v>
      </c>
      <c r="G31" s="1673" t="n">
        <v>922165.29</v>
      </c>
      <c r="H31" s="1673" t="n">
        <v>912576.6899999999</v>
      </c>
      <c r="I31" s="1673" t="n">
        <v>930254.26</v>
      </c>
      <c r="J31" s="1673" t="n">
        <v>997117.6199999999</v>
      </c>
      <c r="K31" s="1672" t="n">
        <v>953809.7625000001</v>
      </c>
      <c r="L31" s="1672" t="n">
        <v>972768.8250000001</v>
      </c>
      <c r="M31" s="1967">
        <f>SUM(G31:L31)</f>
        <v/>
      </c>
      <c r="N31" s="1672" t="n">
        <v>1148197.575</v>
      </c>
      <c r="O31" s="1672" t="n">
        <v>1148197.575</v>
      </c>
      <c r="P31" s="1672" t="n">
        <v>1163737.575</v>
      </c>
      <c r="Q31" s="1672" t="n">
        <v>1244364.45</v>
      </c>
      <c r="R31" s="1672" t="n">
        <v>1244364.45</v>
      </c>
      <c r="S31" s="1672" t="n">
        <v>1244364.45</v>
      </c>
      <c r="T31" s="1967">
        <f>SUM(N31:S31)</f>
        <v/>
      </c>
      <c r="U31" s="1968">
        <f>T31+M31</f>
        <v/>
      </c>
      <c r="V31" s="1969" t="s">
        <v>107</v>
      </c>
      <c r="W31" s="1988" t="n">
        <v>12278</v>
      </c>
      <c r="X31" s="1971" t="n"/>
      <c r="Y31" s="1971" t="n"/>
      <c r="Z31" s="1944">
        <f>PL!E455</f>
        <v/>
      </c>
      <c r="AA31" s="1944">
        <f>PL!I455</f>
        <v/>
      </c>
      <c r="AB31" s="1944">
        <f>PL!M455</f>
        <v/>
      </c>
      <c r="AC31" s="1944">
        <f>PL!Q455</f>
        <v/>
      </c>
      <c r="AD31" s="1944">
        <f>PL!U455</f>
        <v/>
      </c>
      <c r="AE31" s="1944">
        <f>PL!Y455</f>
        <v/>
      </c>
      <c r="AF31" s="1973">
        <f>SUBTOTAL(9,Z31:AE31)</f>
        <v/>
      </c>
      <c r="AG31" s="1944">
        <f>PL!AC455</f>
        <v/>
      </c>
      <c r="AH31" s="1944">
        <f>PL!AG455</f>
        <v/>
      </c>
      <c r="AI31" s="1944">
        <f>PL!AK455</f>
        <v/>
      </c>
      <c r="AJ31" s="1944">
        <f>PL!AO455</f>
        <v/>
      </c>
      <c r="AK31" s="1944">
        <f>PL!AS455</f>
        <v/>
      </c>
      <c r="AL31" s="1944">
        <f>PL!AW455</f>
        <v/>
      </c>
      <c r="AM31" s="1973">
        <f>SUBTOTAL(9,AG31:AL31)</f>
        <v/>
      </c>
      <c r="AN31" s="1975">
        <f>SUM(AF31,AM31)</f>
        <v/>
      </c>
    </row>
    <row customFormat="1" r="32" s="1938" spans="1:41">
      <c r="A32" s="1962" t="n">
        <v>8</v>
      </c>
      <c r="B32" s="1976" t="s">
        <v>108</v>
      </c>
      <c r="C32" s="1964" t="s">
        <v>96</v>
      </c>
      <c r="D32" s="1965" t="s">
        <v>109</v>
      </c>
      <c r="E32" s="1966" t="s">
        <v>96</v>
      </c>
      <c r="F32" s="1966" t="s">
        <v>85</v>
      </c>
      <c r="G32" s="1674" t="n">
        <v>2</v>
      </c>
      <c r="H32" s="1674" t="n">
        <v>2</v>
      </c>
      <c r="I32" s="1674" t="n">
        <v>2</v>
      </c>
      <c r="J32" s="1674" t="n">
        <v>2</v>
      </c>
      <c r="K32" s="1674" t="n">
        <v>2</v>
      </c>
      <c r="L32" s="1674" t="n">
        <v>2</v>
      </c>
      <c r="M32" s="1967">
        <f>SUM(G32:L32)</f>
        <v/>
      </c>
      <c r="N32" s="1674" t="n">
        <v>7</v>
      </c>
      <c r="O32" s="1674" t="n">
        <v>7</v>
      </c>
      <c r="P32" s="1674" t="n">
        <v>7</v>
      </c>
      <c r="Q32" s="1674" t="n">
        <v>7</v>
      </c>
      <c r="R32" s="1674" t="n">
        <v>2</v>
      </c>
      <c r="S32" s="1674" t="n">
        <v>2</v>
      </c>
      <c r="T32" s="1967">
        <f>SUM(N32:S32)</f>
        <v/>
      </c>
      <c r="U32" s="1968">
        <f>T32+M32</f>
        <v/>
      </c>
      <c r="V32" s="1969" t="s">
        <v>110</v>
      </c>
      <c r="W32" s="1970" t="n">
        <v>12273</v>
      </c>
      <c r="X32" s="1971" t="n"/>
      <c r="Y32" s="1971" t="n"/>
      <c r="Z32" s="1972" t="n"/>
      <c r="AB32" s="1938" t="s">
        <v>85</v>
      </c>
      <c r="AC32" s="1973" t="n">
        <v>15</v>
      </c>
      <c r="AD32" s="1973">
        <f>U32-AC32</f>
        <v/>
      </c>
      <c r="AE32" s="1973" t="n"/>
      <c r="AF32" s="1973" t="n"/>
      <c r="AG32" s="1974" t="n"/>
      <c r="AH32" s="1974" t="n"/>
      <c r="AI32" s="1974" t="n"/>
    </row>
    <row customFormat="1" r="33" s="1938" spans="1:41">
      <c r="A33" s="1962" t="n">
        <v>8</v>
      </c>
      <c r="B33" s="1976" t="s">
        <v>108</v>
      </c>
      <c r="C33" s="1964" t="s">
        <v>96</v>
      </c>
      <c r="D33" s="1965" t="s">
        <v>109</v>
      </c>
      <c r="E33" s="1966" t="s">
        <v>96</v>
      </c>
      <c r="F33" s="1964" t="s">
        <v>87</v>
      </c>
      <c r="G33" s="1674" t="n">
        <v>2.5</v>
      </c>
      <c r="H33" s="1674" t="n">
        <v>2.5</v>
      </c>
      <c r="I33" s="1674" t="n">
        <v>2.5</v>
      </c>
      <c r="J33" s="1674" t="n">
        <v>2</v>
      </c>
      <c r="K33" s="1674" t="n">
        <v>2</v>
      </c>
      <c r="L33" s="1674" t="n">
        <v>2</v>
      </c>
      <c r="M33" s="1967">
        <f>SUM(G33:L33)</f>
        <v/>
      </c>
      <c r="N33" s="1674" t="n">
        <v>3</v>
      </c>
      <c r="O33" s="1674" t="n">
        <v>3</v>
      </c>
      <c r="P33" s="1674" t="n">
        <v>3</v>
      </c>
      <c r="Q33" s="1674" t="n">
        <v>2</v>
      </c>
      <c r="R33" s="1674" t="n">
        <v>2</v>
      </c>
      <c r="S33" s="1674" t="n">
        <v>2</v>
      </c>
      <c r="T33" s="1967">
        <f>SUM(N33:S33)</f>
        <v/>
      </c>
      <c r="U33" s="1968">
        <f>T33+M33</f>
        <v/>
      </c>
      <c r="V33" s="1969" t="s">
        <v>110</v>
      </c>
      <c r="W33" s="1970" t="n">
        <v>12273</v>
      </c>
      <c r="X33" s="1971" t="n"/>
      <c r="Y33" s="1971" t="n"/>
      <c r="Z33" s="1972" t="n"/>
      <c r="AB33" s="1944" t="s">
        <v>87</v>
      </c>
      <c r="AC33" s="1973" t="n">
        <v>15</v>
      </c>
      <c r="AD33" s="1973">
        <f>U33-AC33</f>
        <v/>
      </c>
      <c r="AE33" s="1973" t="n"/>
      <c r="AF33" s="1973" t="n"/>
      <c r="AG33" s="1974" t="n"/>
      <c r="AH33" s="1974" t="n"/>
      <c r="AI33" s="1974" t="n"/>
    </row>
    <row customFormat="1" r="34" s="1938" spans="1:41">
      <c r="A34" s="1962" t="n">
        <v>8</v>
      </c>
      <c r="B34" s="1976" t="s">
        <v>108</v>
      </c>
      <c r="C34" s="1964" t="s">
        <v>96</v>
      </c>
      <c r="D34" s="1965" t="s">
        <v>109</v>
      </c>
      <c r="E34" s="1966" t="s">
        <v>96</v>
      </c>
      <c r="F34" s="1966" t="s">
        <v>88</v>
      </c>
      <c r="G34" s="1674" t="n">
        <v>1</v>
      </c>
      <c r="H34" s="1674" t="n">
        <v>0</v>
      </c>
      <c r="I34" s="1674" t="n">
        <v>0</v>
      </c>
      <c r="J34" s="1674" t="n">
        <v>0</v>
      </c>
      <c r="K34" s="1674" t="n">
        <v>0</v>
      </c>
      <c r="L34" s="1674" t="n">
        <v>0</v>
      </c>
      <c r="M34" s="1967">
        <f>SUM(G34:L34)</f>
        <v/>
      </c>
      <c r="N34" s="1674" t="n">
        <v>4</v>
      </c>
      <c r="O34" s="1674" t="n">
        <v>4</v>
      </c>
      <c r="P34" s="1674" t="n">
        <v>4</v>
      </c>
      <c r="Q34" s="1674" t="n">
        <v>4</v>
      </c>
      <c r="R34" s="1674" t="n">
        <v>0</v>
      </c>
      <c r="S34" s="1674" t="n">
        <v>0</v>
      </c>
      <c r="T34" s="1967">
        <f>SUM(N34:S34)</f>
        <v/>
      </c>
      <c r="U34" s="1968">
        <f>T34+M34</f>
        <v/>
      </c>
      <c r="V34" s="1969" t="s">
        <v>110</v>
      </c>
      <c r="W34" s="1970" t="n">
        <v>12273</v>
      </c>
      <c r="X34" s="1971" t="n"/>
      <c r="Y34" s="1971" t="n"/>
      <c r="Z34" s="1972" t="n"/>
      <c r="AB34" s="1938" t="s">
        <v>88</v>
      </c>
      <c r="AC34" s="1973" t="n">
        <v>0</v>
      </c>
      <c r="AD34" s="1973">
        <f>U34-AC34</f>
        <v/>
      </c>
      <c r="AE34" s="1973" t="n"/>
      <c r="AF34" s="1973" t="n"/>
      <c r="AG34" s="1974" t="n"/>
      <c r="AH34" s="1974" t="n"/>
      <c r="AI34" s="1974" t="n"/>
    </row>
    <row customFormat="1" r="35" s="1938" spans="1:41">
      <c r="A35" s="1962" t="n">
        <v>8</v>
      </c>
      <c r="B35" s="1976" t="s">
        <v>108</v>
      </c>
      <c r="C35" s="1964" t="s">
        <v>96</v>
      </c>
      <c r="D35" s="1965" t="s">
        <v>109</v>
      </c>
      <c r="E35" s="1966" t="s">
        <v>96</v>
      </c>
      <c r="F35" s="1966" t="s">
        <v>89</v>
      </c>
      <c r="G35" s="1675" t="n">
        <v>118158.21</v>
      </c>
      <c r="H35" s="1675" t="n">
        <v>95433.44</v>
      </c>
      <c r="I35" s="1675" t="n">
        <v>97283.87</v>
      </c>
      <c r="J35" s="1675" t="n">
        <v>120304.41</v>
      </c>
      <c r="K35" s="1674" t="n">
        <v>105205</v>
      </c>
      <c r="L35" s="1674" t="n">
        <v>105205</v>
      </c>
      <c r="M35" s="1967">
        <f>SUM(G35:L35)</f>
        <v/>
      </c>
      <c r="N35" s="1674" t="n">
        <v>251265</v>
      </c>
      <c r="O35" s="1674" t="n">
        <v>251265</v>
      </c>
      <c r="P35" s="1674" t="n">
        <v>251265</v>
      </c>
      <c r="Q35" s="1674" t="n">
        <v>251265</v>
      </c>
      <c r="R35" s="1674" t="n">
        <v>105205</v>
      </c>
      <c r="S35" s="1674" t="n">
        <v>105205</v>
      </c>
      <c r="T35" s="1967">
        <f>SUM(N35:S35)</f>
        <v/>
      </c>
      <c r="U35" s="1968">
        <f>T35+M35</f>
        <v/>
      </c>
      <c r="V35" s="1969" t="s">
        <v>110</v>
      </c>
      <c r="W35" s="1970" t="n">
        <v>12273</v>
      </c>
      <c r="X35" s="1971" t="n"/>
      <c r="Y35" s="1971" t="n"/>
      <c r="Z35" s="1944">
        <f>PL!E310</f>
        <v/>
      </c>
      <c r="AA35" s="1944">
        <f>PL!I310</f>
        <v/>
      </c>
      <c r="AB35" s="1944">
        <f>PL!M310</f>
        <v/>
      </c>
      <c r="AC35" s="1944">
        <f>PL!Q310</f>
        <v/>
      </c>
      <c r="AD35" s="1944">
        <f>PL!U310</f>
        <v/>
      </c>
      <c r="AE35" s="1944">
        <f>PL!Y310</f>
        <v/>
      </c>
      <c r="AF35" s="1973">
        <f>SUBTOTAL(9,Z35:AE35)</f>
        <v/>
      </c>
      <c r="AG35" s="1944">
        <f>PL!AC310</f>
        <v/>
      </c>
      <c r="AH35" s="1944">
        <f>PL!AG310</f>
        <v/>
      </c>
      <c r="AI35" s="1944">
        <f>PL!AK310</f>
        <v/>
      </c>
      <c r="AJ35" s="1944">
        <f>PL!AO310</f>
        <v/>
      </c>
      <c r="AK35" s="1944">
        <f>PL!AS310</f>
        <v/>
      </c>
      <c r="AL35" s="1944">
        <f>PL!AW310</f>
        <v/>
      </c>
      <c r="AM35" s="1973">
        <f>SUBTOTAL(9,AG35:AL35)</f>
        <v/>
      </c>
      <c r="AN35" s="1975">
        <f>SUM(AF35,AM35)</f>
        <v/>
      </c>
    </row>
    <row customFormat="1" r="36" s="1938" spans="1:41">
      <c r="A36" s="1962" t="n">
        <v>9</v>
      </c>
      <c r="B36" s="1963" t="s">
        <v>111</v>
      </c>
      <c r="C36" s="1964" t="s">
        <v>112</v>
      </c>
      <c r="D36" s="1965" t="s">
        <v>113</v>
      </c>
      <c r="E36" s="1966" t="s">
        <v>112</v>
      </c>
      <c r="F36" s="1966" t="s">
        <v>85</v>
      </c>
      <c r="G36" s="1672" t="n">
        <v>1</v>
      </c>
      <c r="H36" s="1672" t="n">
        <v>1</v>
      </c>
      <c r="I36" s="1672" t="n">
        <v>0</v>
      </c>
      <c r="J36" s="1672" t="n">
        <v>0</v>
      </c>
      <c r="K36" s="1672" t="n">
        <v>0</v>
      </c>
      <c r="L36" s="1672" t="n">
        <v>0</v>
      </c>
      <c r="M36" s="1967">
        <f>SUM(G36:L36)</f>
        <v/>
      </c>
      <c r="N36" s="1672" t="n">
        <v>0</v>
      </c>
      <c r="O36" s="1672" t="n">
        <v>0</v>
      </c>
      <c r="P36" s="1672" t="n">
        <v>0</v>
      </c>
      <c r="Q36" s="1672" t="n">
        <v>0</v>
      </c>
      <c r="R36" s="1672" t="n">
        <v>0</v>
      </c>
      <c r="S36" s="1672" t="n">
        <v>0</v>
      </c>
      <c r="T36" s="1967">
        <f>SUM(N36:S36)</f>
        <v/>
      </c>
      <c r="U36" s="1968">
        <f>T36+M36</f>
        <v/>
      </c>
      <c r="V36" s="1969" t="s">
        <v>104</v>
      </c>
      <c r="W36" s="1970" t="n">
        <v>12272</v>
      </c>
      <c r="X36" s="1971" t="n"/>
      <c r="Y36" s="1971" t="n"/>
      <c r="Z36" s="1972" t="n"/>
      <c r="AB36" s="1938" t="s">
        <v>85</v>
      </c>
      <c r="AC36" s="1973" t="n">
        <v>12</v>
      </c>
      <c r="AD36" s="1973">
        <f>U36-AC36</f>
        <v/>
      </c>
      <c r="AE36" s="1973" t="n"/>
      <c r="AF36" s="1973" t="n"/>
      <c r="AG36" s="1974" t="n"/>
      <c r="AH36" s="1974" t="n"/>
      <c r="AI36" s="1974" t="n"/>
    </row>
    <row customFormat="1" r="37" s="1938" spans="1:41">
      <c r="A37" s="1962" t="n">
        <v>9</v>
      </c>
      <c r="B37" s="1963" t="s">
        <v>111</v>
      </c>
      <c r="C37" s="1964" t="s">
        <v>112</v>
      </c>
      <c r="D37" s="1965" t="s">
        <v>113</v>
      </c>
      <c r="E37" s="1966" t="s">
        <v>112</v>
      </c>
      <c r="F37" s="1966" t="s">
        <v>87</v>
      </c>
      <c r="G37" s="1672" t="n">
        <v>1</v>
      </c>
      <c r="H37" s="1672" t="n">
        <v>1</v>
      </c>
      <c r="I37" s="1672" t="n">
        <v>0</v>
      </c>
      <c r="J37" s="1672" t="n">
        <v>0</v>
      </c>
      <c r="K37" s="1672" t="n">
        <v>0</v>
      </c>
      <c r="L37" s="1672" t="n">
        <v>0</v>
      </c>
      <c r="M37" s="1967">
        <f>SUM(G37:L37)</f>
        <v/>
      </c>
      <c r="N37" s="1672" t="n">
        <v>0</v>
      </c>
      <c r="O37" s="1672" t="n">
        <v>0</v>
      </c>
      <c r="P37" s="1672" t="n">
        <v>0</v>
      </c>
      <c r="Q37" s="1672" t="n">
        <v>0</v>
      </c>
      <c r="R37" s="1672" t="n">
        <v>0</v>
      </c>
      <c r="S37" s="1672" t="n">
        <v>0</v>
      </c>
      <c r="T37" s="1967">
        <f>SUM(N37:S37)</f>
        <v/>
      </c>
      <c r="U37" s="1968">
        <f>T37+M37</f>
        <v/>
      </c>
      <c r="V37" s="1969" t="s">
        <v>104</v>
      </c>
      <c r="W37" s="1970" t="n">
        <v>12272</v>
      </c>
      <c r="X37" s="1971" t="n"/>
      <c r="Y37" s="1971" t="n"/>
      <c r="Z37" s="1972" t="n"/>
      <c r="AB37" s="1944" t="s">
        <v>87</v>
      </c>
      <c r="AC37" s="1973" t="n">
        <v>0</v>
      </c>
      <c r="AD37" s="1973">
        <f>U37-AC37</f>
        <v/>
      </c>
      <c r="AE37" s="1973" t="n"/>
      <c r="AF37" s="1973" t="n"/>
      <c r="AG37" s="1974" t="n"/>
      <c r="AH37" s="1974" t="n"/>
      <c r="AI37" s="1974" t="n"/>
    </row>
    <row customFormat="1" r="38" s="1938" spans="1:41">
      <c r="A38" s="1962" t="n">
        <v>9</v>
      </c>
      <c r="B38" s="1963" t="s">
        <v>111</v>
      </c>
      <c r="C38" s="1964" t="s">
        <v>112</v>
      </c>
      <c r="D38" s="1965" t="s">
        <v>113</v>
      </c>
      <c r="E38" s="1966" t="s">
        <v>112</v>
      </c>
      <c r="F38" s="1966" t="s">
        <v>88</v>
      </c>
      <c r="G38" s="1672" t="n">
        <v>0</v>
      </c>
      <c r="H38" s="1672" t="n">
        <v>0</v>
      </c>
      <c r="I38" s="1672" t="n">
        <v>0</v>
      </c>
      <c r="J38" s="1672" t="n">
        <v>0</v>
      </c>
      <c r="K38" s="1672" t="n">
        <v>0</v>
      </c>
      <c r="L38" s="1672" t="n">
        <v>0</v>
      </c>
      <c r="M38" s="1967">
        <f>SUM(G38:L38)</f>
        <v/>
      </c>
      <c r="N38" s="1672" t="n">
        <v>0</v>
      </c>
      <c r="O38" s="1672" t="n">
        <v>0</v>
      </c>
      <c r="P38" s="1672" t="n">
        <v>0</v>
      </c>
      <c r="Q38" s="1672" t="n">
        <v>0</v>
      </c>
      <c r="R38" s="1672" t="n">
        <v>0</v>
      </c>
      <c r="S38" s="1672" t="n">
        <v>0</v>
      </c>
      <c r="T38" s="1967">
        <f>SUM(N38:S38)</f>
        <v/>
      </c>
      <c r="U38" s="1968">
        <f>T38+M38</f>
        <v/>
      </c>
      <c r="V38" s="1969" t="s">
        <v>104</v>
      </c>
      <c r="W38" s="1970" t="n">
        <v>12272</v>
      </c>
      <c r="X38" s="1971" t="n"/>
      <c r="Y38" s="1971" t="n"/>
      <c r="Z38" s="1972" t="n"/>
      <c r="AB38" s="1938" t="s">
        <v>88</v>
      </c>
      <c r="AC38" s="1973" t="n">
        <v>24</v>
      </c>
      <c r="AD38" s="1973">
        <f>U38-AC38</f>
        <v/>
      </c>
      <c r="AE38" s="1973" t="n"/>
      <c r="AF38" s="1973" t="n"/>
      <c r="AG38" s="1974" t="n"/>
      <c r="AH38" s="1974" t="n"/>
      <c r="AI38" s="1974" t="n"/>
    </row>
    <row customFormat="1" customHeight="1" ht="11.25" r="39" s="1938" spans="1:41" thickBot="1">
      <c r="A39" s="1962" t="n">
        <v>9</v>
      </c>
      <c r="B39" s="1963" t="s">
        <v>111</v>
      </c>
      <c r="C39" s="1964" t="s">
        <v>112</v>
      </c>
      <c r="D39" s="1965" t="s">
        <v>113</v>
      </c>
      <c r="E39" s="1966" t="s">
        <v>112</v>
      </c>
      <c r="F39" s="1966" t="s">
        <v>89</v>
      </c>
      <c r="G39" s="1673" t="n">
        <v>57750</v>
      </c>
      <c r="H39" s="1673" t="n">
        <v>57750</v>
      </c>
      <c r="I39" s="1672" t="n">
        <v>0</v>
      </c>
      <c r="J39" s="1672" t="n">
        <v>0</v>
      </c>
      <c r="K39" s="1672" t="n">
        <v>0</v>
      </c>
      <c r="L39" s="1672" t="n">
        <v>0</v>
      </c>
      <c r="M39" s="1967">
        <f>SUM(G39:L39)</f>
        <v/>
      </c>
      <c r="N39" s="1672" t="n">
        <v>0</v>
      </c>
      <c r="O39" s="1672" t="n">
        <v>0</v>
      </c>
      <c r="P39" s="1672" t="n">
        <v>0</v>
      </c>
      <c r="Q39" s="1672" t="n">
        <v>0</v>
      </c>
      <c r="R39" s="1672" t="n">
        <v>0</v>
      </c>
      <c r="S39" s="1672" t="n">
        <v>0</v>
      </c>
      <c r="T39" s="1985">
        <f>SUM(N39:S39)</f>
        <v/>
      </c>
      <c r="U39" s="1989">
        <f>T39+M39</f>
        <v/>
      </c>
      <c r="V39" s="1969" t="s">
        <v>104</v>
      </c>
      <c r="W39" s="1970" t="n">
        <v>12272</v>
      </c>
      <c r="X39" s="1971" t="n"/>
      <c r="Y39" s="1971" t="n"/>
      <c r="Z39" s="1944">
        <f>PL!E262</f>
        <v/>
      </c>
      <c r="AA39" s="1944">
        <f>PL!I262</f>
        <v/>
      </c>
      <c r="AB39" s="1944">
        <f>PL!M262</f>
        <v/>
      </c>
      <c r="AC39" s="1944">
        <f>PL!Q262</f>
        <v/>
      </c>
      <c r="AD39" s="1944">
        <f>PL!U262</f>
        <v/>
      </c>
      <c r="AE39" s="1944">
        <f>PL!Y262</f>
        <v/>
      </c>
      <c r="AF39" s="1973">
        <f>SUBTOTAL(9,Z39:AE39)</f>
        <v/>
      </c>
      <c r="AG39" s="1944">
        <f>PL!AC262</f>
        <v/>
      </c>
      <c r="AH39" s="1944">
        <f>PL!AG262</f>
        <v/>
      </c>
      <c r="AI39" s="1944">
        <f>PL!AK262</f>
        <v/>
      </c>
      <c r="AJ39" s="1944">
        <f>PL!AO262</f>
        <v/>
      </c>
      <c r="AK39" s="1944">
        <f>PL!AS262</f>
        <v/>
      </c>
      <c r="AL39" s="1944">
        <f>PL!AW262</f>
        <v/>
      </c>
      <c r="AM39" s="1973">
        <f>SUBTOTAL(9,AG39:AL39)</f>
        <v/>
      </c>
      <c r="AN39" s="1975">
        <f>SUM(AF39,AM39)</f>
        <v/>
      </c>
    </row>
    <row customFormat="1" r="40" s="1938" spans="1:41">
      <c r="A40" s="1962" t="n">
        <v>10</v>
      </c>
      <c r="B40" s="1976" t="s">
        <v>114</v>
      </c>
      <c r="C40" s="1964" t="s">
        <v>115</v>
      </c>
      <c r="D40" s="1965" t="s">
        <v>116</v>
      </c>
      <c r="E40" s="1990" t="s">
        <v>115</v>
      </c>
      <c r="F40" s="1966" t="s">
        <v>85</v>
      </c>
      <c r="G40" s="1674" t="n"/>
      <c r="H40" s="1674" t="n"/>
      <c r="I40" s="1674" t="n"/>
      <c r="J40" s="1674" t="n"/>
      <c r="K40" s="1674" t="n"/>
      <c r="L40" s="1674" t="n"/>
      <c r="M40" s="1991">
        <f>SUM(G40:L40)</f>
        <v/>
      </c>
      <c r="N40" s="1674" t="n"/>
      <c r="O40" s="1674" t="n"/>
      <c r="P40" s="1674" t="n"/>
      <c r="Q40" s="1674" t="n"/>
      <c r="R40" s="1674" t="n"/>
      <c r="S40" s="1674" t="n"/>
      <c r="T40" s="1979">
        <f>SUM(N40:S40)</f>
        <v/>
      </c>
      <c r="U40" s="1986">
        <f>T40+M40</f>
        <v/>
      </c>
      <c r="V40" s="1969" t="s">
        <v>110</v>
      </c>
      <c r="W40" s="1970" t="n">
        <v>12273</v>
      </c>
      <c r="X40" s="1971" t="n"/>
      <c r="Y40" s="1971" t="n"/>
      <c r="Z40" s="1972" t="n"/>
      <c r="AB40" s="1938" t="s">
        <v>85</v>
      </c>
      <c r="AC40" s="1973" t="n"/>
      <c r="AD40" s="1973">
        <f>U40-AC40</f>
        <v/>
      </c>
      <c r="AE40" s="1973" t="n"/>
      <c r="AF40" s="1973" t="n"/>
      <c r="AG40" s="1974" t="n"/>
      <c r="AH40" s="1974" t="n"/>
      <c r="AI40" s="1974" t="n"/>
    </row>
    <row customFormat="1" r="41" s="1938" spans="1:41">
      <c r="A41" s="1962" t="n">
        <v>10</v>
      </c>
      <c r="B41" s="1976" t="s">
        <v>114</v>
      </c>
      <c r="C41" s="1964" t="s">
        <v>115</v>
      </c>
      <c r="D41" s="1965" t="s">
        <v>116</v>
      </c>
      <c r="E41" s="1990" t="s">
        <v>115</v>
      </c>
      <c r="F41" s="1964" t="s">
        <v>87</v>
      </c>
      <c r="G41" s="1674" t="n">
        <v>1</v>
      </c>
      <c r="H41" s="1674" t="n">
        <v>1</v>
      </c>
      <c r="I41" s="1674" t="n">
        <v>1</v>
      </c>
      <c r="J41" s="1674" t="n">
        <v>1</v>
      </c>
      <c r="K41" s="1674" t="n">
        <v>1</v>
      </c>
      <c r="L41" s="1674" t="n">
        <v>1</v>
      </c>
      <c r="M41" s="1967">
        <f>SUM(G41:L41)</f>
        <v/>
      </c>
      <c r="N41" s="1674" t="n">
        <v>1</v>
      </c>
      <c r="O41" s="1674" t="n">
        <v>1</v>
      </c>
      <c r="P41" s="1674" t="n">
        <v>1</v>
      </c>
      <c r="Q41" s="1674" t="n">
        <v>1</v>
      </c>
      <c r="R41" s="1674" t="n">
        <v>1</v>
      </c>
      <c r="S41" s="1674" t="n">
        <v>1</v>
      </c>
      <c r="T41" s="1967">
        <f>SUM(N41:S41)</f>
        <v/>
      </c>
      <c r="U41" s="1968">
        <f>T41+M41</f>
        <v/>
      </c>
      <c r="V41" s="1969" t="s">
        <v>110</v>
      </c>
      <c r="W41" s="1970" t="n">
        <v>12273</v>
      </c>
      <c r="X41" s="1971" t="n"/>
      <c r="Y41" s="1971" t="n"/>
      <c r="Z41" s="1972" t="n"/>
      <c r="AB41" s="1944" t="s">
        <v>87</v>
      </c>
      <c r="AC41" s="1973" t="n"/>
      <c r="AD41" s="1973">
        <f>U41-AC41</f>
        <v/>
      </c>
      <c r="AE41" s="1973" t="n"/>
      <c r="AF41" s="1973" t="n"/>
      <c r="AG41" s="1974" t="n"/>
      <c r="AH41" s="1974" t="n"/>
      <c r="AI41" s="1974" t="n"/>
    </row>
    <row customFormat="1" r="42" s="1938" spans="1:41">
      <c r="A42" s="1962" t="n">
        <v>10</v>
      </c>
      <c r="B42" s="1976" t="s">
        <v>114</v>
      </c>
      <c r="C42" s="1964" t="s">
        <v>115</v>
      </c>
      <c r="D42" s="1965" t="s">
        <v>116</v>
      </c>
      <c r="E42" s="1990" t="s">
        <v>115</v>
      </c>
      <c r="F42" s="1966" t="s">
        <v>88</v>
      </c>
      <c r="G42" s="1674" t="n">
        <v>1</v>
      </c>
      <c r="H42" s="1674" t="n">
        <v>5</v>
      </c>
      <c r="I42" s="1674" t="n">
        <v>4</v>
      </c>
      <c r="J42" s="1674" t="n">
        <v>6</v>
      </c>
      <c r="K42" s="1674" t="n">
        <v>6</v>
      </c>
      <c r="L42" s="1674" t="n">
        <v>6</v>
      </c>
      <c r="M42" s="1967">
        <f>SUM(G42:L42)</f>
        <v/>
      </c>
      <c r="N42" s="1674" t="n">
        <v>6</v>
      </c>
      <c r="O42" s="1674" t="n">
        <v>6</v>
      </c>
      <c r="P42" s="1674" t="n">
        <v>6</v>
      </c>
      <c r="Q42" s="1674" t="n">
        <v>6</v>
      </c>
      <c r="R42" s="1674" t="n">
        <v>6</v>
      </c>
      <c r="S42" s="1674" t="n">
        <v>6</v>
      </c>
      <c r="T42" s="1967">
        <f>SUM(N42:S42)</f>
        <v/>
      </c>
      <c r="U42" s="1968">
        <f>T42+M42</f>
        <v/>
      </c>
      <c r="V42" s="1969" t="s">
        <v>110</v>
      </c>
      <c r="W42" s="1970" t="n">
        <v>12273</v>
      </c>
      <c r="X42" s="1971" t="n"/>
      <c r="Y42" s="1971" t="n"/>
      <c r="Z42" s="1972" t="n"/>
      <c r="AB42" s="1938" t="s">
        <v>88</v>
      </c>
      <c r="AC42" s="1973" t="n"/>
      <c r="AD42" s="1973">
        <f>U42-AC42</f>
        <v/>
      </c>
      <c r="AE42" s="1973" t="n"/>
      <c r="AF42" s="1973" t="n"/>
      <c r="AG42" s="1974" t="n"/>
      <c r="AH42" s="1974" t="n"/>
      <c r="AI42" s="1974" t="n"/>
    </row>
    <row customFormat="1" r="43" s="1938" spans="1:41">
      <c r="A43" s="1962" t="n">
        <v>10</v>
      </c>
      <c r="B43" s="1976" t="s">
        <v>114</v>
      </c>
      <c r="C43" s="1964" t="s">
        <v>115</v>
      </c>
      <c r="D43" s="1983" t="s">
        <v>116</v>
      </c>
      <c r="E43" s="1992" t="s">
        <v>115</v>
      </c>
      <c r="F43" s="1964" t="s">
        <v>89</v>
      </c>
      <c r="G43" s="1675" t="n">
        <v>0</v>
      </c>
      <c r="H43" s="1676" t="n">
        <v>80236</v>
      </c>
      <c r="I43" s="1676" t="n">
        <v>357877</v>
      </c>
      <c r="J43" s="1677">
        <f>48679+(106132+11791.25)/3*2+(216487.35+24054.15)/3</f>
        <v/>
      </c>
      <c r="K43" s="1677">
        <f>(106121.25+11791.25)/3+(216487.35+24054.15)/3*2</f>
        <v/>
      </c>
      <c r="L43" s="1677" t="n">
        <v>210000</v>
      </c>
      <c r="M43" s="1985">
        <f>SUM(G43:L43)</f>
        <v/>
      </c>
      <c r="N43" s="1677" t="n">
        <v>210000</v>
      </c>
      <c r="O43" s="1677" t="n">
        <v>210000</v>
      </c>
      <c r="P43" s="1677" t="n">
        <v>210000</v>
      </c>
      <c r="Q43" s="1677" t="n">
        <v>210000</v>
      </c>
      <c r="R43" s="1677" t="n">
        <v>210000</v>
      </c>
      <c r="S43" s="1677" t="n">
        <v>210000</v>
      </c>
      <c r="T43" s="1985">
        <f>SUM(N43:S43)</f>
        <v/>
      </c>
      <c r="U43" s="1986">
        <f>T43+M43</f>
        <v/>
      </c>
      <c r="V43" s="1981" t="s">
        <v>110</v>
      </c>
      <c r="W43" s="1970" t="n">
        <v>12273</v>
      </c>
      <c r="X43" s="1971" t="n"/>
      <c r="Y43" s="1971" t="n"/>
      <c r="Z43" s="1944">
        <f>PL!E334</f>
        <v/>
      </c>
      <c r="AA43" s="1944">
        <f>PL!I334</f>
        <v/>
      </c>
      <c r="AB43" s="1944">
        <f>PL!M334</f>
        <v/>
      </c>
      <c r="AC43" s="1944">
        <f>PL!Q334</f>
        <v/>
      </c>
      <c r="AD43" s="1944">
        <f>PL!U334</f>
        <v/>
      </c>
      <c r="AE43" s="1944">
        <f>PL!Y334</f>
        <v/>
      </c>
      <c r="AF43" s="1973">
        <f>SUBTOTAL(9,Z43:AE43)</f>
        <v/>
      </c>
      <c r="AG43" s="1944">
        <f>PL!AC334</f>
        <v/>
      </c>
      <c r="AH43" s="1944">
        <f>PL!AG334</f>
        <v/>
      </c>
      <c r="AI43" s="1944">
        <f>PL!AK334</f>
        <v/>
      </c>
      <c r="AJ43" s="1944">
        <f>PL!AO334</f>
        <v/>
      </c>
      <c r="AK43" s="1944">
        <f>PL!AS334</f>
        <v/>
      </c>
      <c r="AL43" s="1944">
        <f>PL!AW334</f>
        <v/>
      </c>
      <c r="AM43" s="1973">
        <f>SUBTOTAL(9,AG43:AL43)</f>
        <v/>
      </c>
      <c r="AN43" s="1975">
        <f>SUM(AF43,AM43)</f>
        <v/>
      </c>
    </row>
    <row customFormat="1" r="44" s="1938" spans="1:41">
      <c r="A44" s="1962" t="n">
        <v>11</v>
      </c>
      <c r="B44" s="1963" t="s">
        <v>117</v>
      </c>
      <c r="C44" s="1964" t="s">
        <v>118</v>
      </c>
      <c r="D44" s="1977" t="s">
        <v>119</v>
      </c>
      <c r="E44" s="1993" t="s">
        <v>120</v>
      </c>
      <c r="F44" s="1993" t="s">
        <v>85</v>
      </c>
      <c r="G44" s="1672" t="n">
        <v>2</v>
      </c>
      <c r="H44" s="1672" t="n">
        <v>2</v>
      </c>
      <c r="I44" s="1672" t="n">
        <v>2</v>
      </c>
      <c r="J44" s="1672" t="n">
        <v>2</v>
      </c>
      <c r="K44" s="1672" t="n">
        <v>2</v>
      </c>
      <c r="L44" s="1672" t="n">
        <v>2</v>
      </c>
      <c r="M44" s="1994">
        <f>SUM(G44:L44)</f>
        <v/>
      </c>
      <c r="N44" s="1672" t="n">
        <v>2</v>
      </c>
      <c r="O44" s="1672" t="n">
        <v>2</v>
      </c>
      <c r="P44" s="1672" t="n">
        <v>2</v>
      </c>
      <c r="Q44" s="1672" t="n">
        <v>2</v>
      </c>
      <c r="R44" s="1672" t="n">
        <v>2</v>
      </c>
      <c r="S44" s="1672" t="n">
        <v>2</v>
      </c>
      <c r="T44" s="1979">
        <f>SUM(N44:S44)</f>
        <v/>
      </c>
      <c r="U44" s="1980">
        <f>T44+M44</f>
        <v/>
      </c>
      <c r="V44" s="1995" t="s">
        <v>121</v>
      </c>
      <c r="W44" s="1970" t="n">
        <v>12276</v>
      </c>
      <c r="X44" s="1971" t="n"/>
      <c r="Y44" s="1971" t="n"/>
      <c r="Z44" s="1972" t="n"/>
      <c r="AB44" s="1944" t="s">
        <v>85</v>
      </c>
      <c r="AC44" s="1973" t="n">
        <v>38.4</v>
      </c>
      <c r="AD44" s="1973">
        <f>U44-AC44</f>
        <v/>
      </c>
      <c r="AE44" s="1973" t="n"/>
      <c r="AF44" s="1973" t="n"/>
      <c r="AG44" s="1974" t="n"/>
      <c r="AH44" s="1974" t="n"/>
      <c r="AI44" s="1974" t="n"/>
    </row>
    <row customFormat="1" r="45" s="1938" spans="1:41">
      <c r="A45" s="1962" t="n">
        <v>11</v>
      </c>
      <c r="B45" s="1963" t="s">
        <v>117</v>
      </c>
      <c r="C45" s="1964" t="s">
        <v>118</v>
      </c>
      <c r="D45" s="1965" t="s">
        <v>122</v>
      </c>
      <c r="E45" s="1996" t="s">
        <v>120</v>
      </c>
      <c r="F45" s="1966" t="s">
        <v>87</v>
      </c>
      <c r="G45" s="1672" t="n">
        <v>0.5</v>
      </c>
      <c r="H45" s="1672" t="n">
        <v>0.5</v>
      </c>
      <c r="I45" s="1672" t="n">
        <v>0.5</v>
      </c>
      <c r="J45" s="1672" t="n">
        <v>0.5</v>
      </c>
      <c r="K45" s="1672" t="n">
        <v>0.5</v>
      </c>
      <c r="L45" s="1672" t="n">
        <v>0.5</v>
      </c>
      <c r="M45" s="1997">
        <f>SUM(G45:L45)</f>
        <v/>
      </c>
      <c r="N45" s="1672" t="n">
        <v>0.5</v>
      </c>
      <c r="O45" s="1672" t="n">
        <v>0.5</v>
      </c>
      <c r="P45" s="1672" t="n">
        <v>0.5</v>
      </c>
      <c r="Q45" s="1672" t="n">
        <v>0.5</v>
      </c>
      <c r="R45" s="1672" t="n">
        <v>0.5</v>
      </c>
      <c r="S45" s="1672" t="n">
        <v>0.5</v>
      </c>
      <c r="T45" s="1967">
        <f>SUM(N45:S45)</f>
        <v/>
      </c>
      <c r="U45" s="1968">
        <f>T45+M45</f>
        <v/>
      </c>
      <c r="V45" s="1969" t="s">
        <v>121</v>
      </c>
      <c r="W45" s="1970" t="n">
        <v>12276</v>
      </c>
      <c r="X45" s="1971" t="n"/>
      <c r="Y45" s="1971" t="n"/>
      <c r="Z45" s="1972" t="n"/>
      <c r="AB45" s="1944" t="s">
        <v>87</v>
      </c>
      <c r="AC45" s="1973" t="n">
        <v>24</v>
      </c>
      <c r="AD45" s="1973">
        <f>U45-AC45</f>
        <v/>
      </c>
      <c r="AE45" s="1973" t="n"/>
      <c r="AF45" s="1973" t="n"/>
      <c r="AG45" s="1974" t="n"/>
      <c r="AH45" s="1974" t="n"/>
      <c r="AI45" s="1974" t="n"/>
    </row>
    <row customFormat="1" r="46" s="1938" spans="1:41">
      <c r="A46" s="1962" t="n">
        <v>11</v>
      </c>
      <c r="B46" s="1963" t="s">
        <v>117</v>
      </c>
      <c r="C46" s="1964" t="s">
        <v>118</v>
      </c>
      <c r="D46" s="1965" t="s">
        <v>122</v>
      </c>
      <c r="E46" s="1996" t="s">
        <v>120</v>
      </c>
      <c r="F46" s="1996" t="s">
        <v>88</v>
      </c>
      <c r="G46" s="1672" t="n">
        <v>2.5</v>
      </c>
      <c r="H46" s="1672" t="n">
        <v>2.5</v>
      </c>
      <c r="I46" s="1672" t="n">
        <v>2.5</v>
      </c>
      <c r="J46" s="1672" t="n">
        <v>2.5</v>
      </c>
      <c r="K46" s="1672" t="n">
        <v>2.5</v>
      </c>
      <c r="L46" s="1672" t="n">
        <v>2.5</v>
      </c>
      <c r="M46" s="1997">
        <f>SUM(G46:L46)</f>
        <v/>
      </c>
      <c r="N46" s="1672" t="n">
        <v>2.5</v>
      </c>
      <c r="O46" s="1672" t="n">
        <v>2.5</v>
      </c>
      <c r="P46" s="1672" t="n">
        <v>2.5</v>
      </c>
      <c r="Q46" s="1672" t="n">
        <v>2.5</v>
      </c>
      <c r="R46" s="1672" t="n">
        <v>2.5</v>
      </c>
      <c r="S46" s="1672" t="n">
        <v>2.5</v>
      </c>
      <c r="T46" s="1967">
        <f>SUM(N46:S46)</f>
        <v/>
      </c>
      <c r="U46" s="1968">
        <f>T46+M46</f>
        <v/>
      </c>
      <c r="V46" s="1969" t="s">
        <v>121</v>
      </c>
      <c r="W46" s="1970" t="n">
        <v>12276</v>
      </c>
      <c r="X46" s="1971" t="n"/>
      <c r="Y46" s="1971" t="n"/>
      <c r="Z46" s="1972" t="n"/>
      <c r="AB46" s="1944" t="s">
        <v>88</v>
      </c>
      <c r="AC46" s="1973" t="n">
        <v>24</v>
      </c>
      <c r="AD46" s="1973">
        <f>U46-AC46</f>
        <v/>
      </c>
      <c r="AE46" s="1973" t="n"/>
      <c r="AF46" s="1973" t="n"/>
      <c r="AG46" s="1974" t="n"/>
      <c r="AH46" s="1974" t="n"/>
      <c r="AI46" s="1974" t="n"/>
    </row>
    <row customFormat="1" r="47" s="1938" spans="1:41">
      <c r="A47" s="1962" t="n">
        <v>11</v>
      </c>
      <c r="B47" s="1963" t="s">
        <v>117</v>
      </c>
      <c r="C47" s="1964" t="s">
        <v>118</v>
      </c>
      <c r="D47" s="1965" t="s">
        <v>122</v>
      </c>
      <c r="E47" s="1996" t="s">
        <v>120</v>
      </c>
      <c r="F47" s="1996" t="s">
        <v>89</v>
      </c>
      <c r="G47" s="1673" t="n">
        <v>104852.02</v>
      </c>
      <c r="H47" s="1673" t="n">
        <v>104554.72</v>
      </c>
      <c r="I47" s="1673" t="n">
        <v>106236.13</v>
      </c>
      <c r="J47" s="1673" t="n">
        <v>104251.55</v>
      </c>
      <c r="K47" s="1672" t="n">
        <v>103740</v>
      </c>
      <c r="L47" s="1672" t="n">
        <v>103740</v>
      </c>
      <c r="M47" s="1998">
        <f>SUM(G47:L47)</f>
        <v/>
      </c>
      <c r="N47" s="1672" t="n">
        <v>103740</v>
      </c>
      <c r="O47" s="1672" t="n">
        <v>103740</v>
      </c>
      <c r="P47" s="1672" t="n">
        <v>103740</v>
      </c>
      <c r="Q47" s="1672" t="n">
        <v>103740</v>
      </c>
      <c r="R47" s="1672" t="n">
        <v>103740</v>
      </c>
      <c r="S47" s="1672" t="n">
        <v>103740</v>
      </c>
      <c r="T47" s="1967">
        <f>SUM(N47:S47)</f>
        <v/>
      </c>
      <c r="U47" s="1968">
        <f>T47+M47</f>
        <v/>
      </c>
      <c r="V47" s="1969" t="s">
        <v>121</v>
      </c>
      <c r="W47" s="1970" t="n">
        <v>12276</v>
      </c>
      <c r="X47" s="1971" t="n"/>
      <c r="Y47" s="1971" t="n"/>
      <c r="Z47" s="1944">
        <f>PL!E407</f>
        <v/>
      </c>
      <c r="AA47" s="1944">
        <f>PL!I407</f>
        <v/>
      </c>
      <c r="AB47" s="1944">
        <f>PL!M407</f>
        <v/>
      </c>
      <c r="AC47" s="1944">
        <f>PL!Q407</f>
        <v/>
      </c>
      <c r="AD47" s="1944">
        <f>PL!U407</f>
        <v/>
      </c>
      <c r="AE47" s="1944">
        <f>PL!Y407</f>
        <v/>
      </c>
      <c r="AF47" s="1973">
        <f>SUBTOTAL(9,Z47:AE47)</f>
        <v/>
      </c>
      <c r="AG47" s="1944">
        <f>PL!AC407</f>
        <v/>
      </c>
      <c r="AH47" s="1944">
        <f>PL!AG407</f>
        <v/>
      </c>
      <c r="AI47" s="1944">
        <f>PL!AK407</f>
        <v/>
      </c>
      <c r="AJ47" s="1944">
        <f>PL!AO407</f>
        <v/>
      </c>
      <c r="AK47" s="1944">
        <f>PL!AS407</f>
        <v/>
      </c>
      <c r="AL47" s="1944">
        <f>PL!AW407</f>
        <v/>
      </c>
      <c r="AM47" s="1973">
        <f>SUBTOTAL(9,AG47:AL47)</f>
        <v/>
      </c>
      <c r="AN47" s="1975">
        <f>SUM(AF47,AM47)</f>
        <v/>
      </c>
    </row>
    <row customFormat="1" r="48" s="1938" spans="1:41">
      <c r="A48" s="1962" t="n">
        <v>12</v>
      </c>
      <c r="B48" s="1976" t="s">
        <v>123</v>
      </c>
      <c r="C48" s="1964" t="s">
        <v>124</v>
      </c>
      <c r="D48" s="1965" t="s">
        <v>125</v>
      </c>
      <c r="E48" s="1966" t="s">
        <v>120</v>
      </c>
      <c r="F48" s="1966" t="s">
        <v>85</v>
      </c>
      <c r="G48" s="1674" t="n">
        <v>2</v>
      </c>
      <c r="H48" s="1674" t="n">
        <v>2</v>
      </c>
      <c r="I48" s="1674" t="n">
        <v>2</v>
      </c>
      <c r="J48" s="1674" t="n">
        <v>2</v>
      </c>
      <c r="K48" s="1674" t="n">
        <v>2</v>
      </c>
      <c r="L48" s="1674" t="n">
        <v>2</v>
      </c>
      <c r="M48" s="1998">
        <f>SUM(G48:L48)</f>
        <v/>
      </c>
      <c r="N48" s="1674" t="n">
        <v>2</v>
      </c>
      <c r="O48" s="1674" t="n">
        <v>2</v>
      </c>
      <c r="P48" s="1674" t="n">
        <v>2</v>
      </c>
      <c r="Q48" s="1674" t="n">
        <v>2</v>
      </c>
      <c r="R48" s="1674" t="n">
        <v>2</v>
      </c>
      <c r="S48" s="1674" t="n">
        <v>2</v>
      </c>
      <c r="T48" s="1967">
        <f>SUM(N48:S48)</f>
        <v/>
      </c>
      <c r="U48" s="1968">
        <f>T48+M48</f>
        <v/>
      </c>
      <c r="V48" s="1969" t="s">
        <v>121</v>
      </c>
      <c r="W48" s="1970" t="n">
        <v>12276</v>
      </c>
      <c r="X48" s="1971" t="n"/>
      <c r="Y48" s="1971" t="n"/>
      <c r="Z48" s="1972" t="n"/>
      <c r="AB48" s="1944" t="s">
        <v>85</v>
      </c>
      <c r="AC48" s="1973" t="n">
        <v>6</v>
      </c>
      <c r="AD48" s="1973">
        <f>U48-AC48</f>
        <v/>
      </c>
      <c r="AE48" s="1973" t="n"/>
      <c r="AF48" s="1973" t="n"/>
      <c r="AG48" s="1974" t="n"/>
      <c r="AH48" s="1974" t="n"/>
      <c r="AI48" s="1974" t="n"/>
    </row>
    <row customFormat="1" r="49" s="1938" spans="1:41">
      <c r="A49" s="1962" t="n">
        <v>12</v>
      </c>
      <c r="B49" s="1976" t="s">
        <v>123</v>
      </c>
      <c r="C49" s="1964" t="s">
        <v>124</v>
      </c>
      <c r="D49" s="1965" t="s">
        <v>125</v>
      </c>
      <c r="E49" s="1966" t="s">
        <v>120</v>
      </c>
      <c r="F49" s="1964" t="s">
        <v>87</v>
      </c>
      <c r="G49" s="1674" t="n">
        <v>0.4</v>
      </c>
      <c r="H49" s="1674" t="n">
        <v>0.4</v>
      </c>
      <c r="I49" s="1674" t="n">
        <v>0.4</v>
      </c>
      <c r="J49" s="1674" t="n">
        <v>0.4</v>
      </c>
      <c r="K49" s="1674" t="n">
        <v>0.4</v>
      </c>
      <c r="L49" s="1674" t="n">
        <v>0.4</v>
      </c>
      <c r="M49" s="1999">
        <f>SUM(G49:L49)</f>
        <v/>
      </c>
      <c r="N49" s="1674" t="n">
        <v>0.4</v>
      </c>
      <c r="O49" s="1674" t="n">
        <v>0.4</v>
      </c>
      <c r="P49" s="1674" t="n">
        <v>0.4</v>
      </c>
      <c r="Q49" s="1674" t="n">
        <v>0.4</v>
      </c>
      <c r="R49" s="1674" t="n">
        <v>0.4</v>
      </c>
      <c r="S49" s="1674" t="n">
        <v>0.4</v>
      </c>
      <c r="T49" s="1967">
        <f>SUM(N49:S49)</f>
        <v/>
      </c>
      <c r="U49" s="1968">
        <f>T49+M49</f>
        <v/>
      </c>
      <c r="V49" s="1969" t="s">
        <v>121</v>
      </c>
      <c r="W49" s="1970" t="n">
        <v>12276</v>
      </c>
      <c r="X49" s="1971" t="n"/>
      <c r="Y49" s="1971" t="n"/>
      <c r="Z49" s="1972" t="n"/>
      <c r="AB49" s="1944" t="s">
        <v>87</v>
      </c>
      <c r="AC49" s="1973" t="n">
        <v>3.6</v>
      </c>
      <c r="AD49" s="1973">
        <f>U49-AC49</f>
        <v/>
      </c>
      <c r="AE49" s="1973" t="n"/>
      <c r="AF49" s="1973" t="n"/>
      <c r="AG49" s="1974" t="n"/>
      <c r="AH49" s="1974" t="n"/>
      <c r="AI49" s="1974" t="n"/>
    </row>
    <row customFormat="1" r="50" s="1938" spans="1:41">
      <c r="A50" s="1962" t="n">
        <v>12</v>
      </c>
      <c r="B50" s="1976" t="s">
        <v>123</v>
      </c>
      <c r="C50" s="1964" t="s">
        <v>124</v>
      </c>
      <c r="D50" s="1965" t="s">
        <v>125</v>
      </c>
      <c r="E50" s="1966" t="s">
        <v>120</v>
      </c>
      <c r="F50" s="1966" t="s">
        <v>88</v>
      </c>
      <c r="G50" s="1674" t="n">
        <v>2.5</v>
      </c>
      <c r="H50" s="1674" t="n">
        <v>2.5</v>
      </c>
      <c r="I50" s="1674" t="n">
        <v>2.5</v>
      </c>
      <c r="J50" s="1674" t="n">
        <v>2.5</v>
      </c>
      <c r="K50" s="1674" t="n">
        <v>2.5</v>
      </c>
      <c r="L50" s="1674" t="n">
        <v>2.5</v>
      </c>
      <c r="M50" s="1999">
        <f>SUM(G50:L50)</f>
        <v/>
      </c>
      <c r="N50" s="1674" t="n">
        <v>2.5</v>
      </c>
      <c r="O50" s="1674" t="n">
        <v>2.5</v>
      </c>
      <c r="P50" s="1674" t="n">
        <v>2.5</v>
      </c>
      <c r="Q50" s="1674" t="n">
        <v>2.5</v>
      </c>
      <c r="R50" s="1674" t="n">
        <v>2.5</v>
      </c>
      <c r="S50" s="1674" t="n">
        <v>2.5</v>
      </c>
      <c r="T50" s="1967">
        <f>SUM(N50:S50)</f>
        <v/>
      </c>
      <c r="U50" s="1968">
        <f>T50+M50</f>
        <v/>
      </c>
      <c r="V50" s="1969" t="s">
        <v>121</v>
      </c>
      <c r="W50" s="1970" t="n">
        <v>12276</v>
      </c>
      <c r="X50" s="1971" t="n"/>
      <c r="Y50" s="1971" t="n"/>
      <c r="Z50" s="1972" t="n"/>
      <c r="AB50" s="1944" t="s">
        <v>88</v>
      </c>
      <c r="AC50" s="1973" t="n">
        <v>12</v>
      </c>
      <c r="AD50" s="1973">
        <f>U50-AC50</f>
        <v/>
      </c>
      <c r="AE50" s="1973" t="n"/>
      <c r="AF50" s="1973" t="n"/>
      <c r="AG50" s="1974" t="n"/>
      <c r="AH50" s="1974" t="n"/>
      <c r="AI50" s="1974" t="n"/>
    </row>
    <row customFormat="1" r="51" s="1938" spans="1:41">
      <c r="A51" s="1962" t="n">
        <v>12</v>
      </c>
      <c r="B51" s="1976" t="s">
        <v>123</v>
      </c>
      <c r="C51" s="1964" t="s">
        <v>124</v>
      </c>
      <c r="D51" s="1965" t="s">
        <v>125</v>
      </c>
      <c r="E51" s="2000" t="s">
        <v>120</v>
      </c>
      <c r="F51" s="2000" t="s">
        <v>89</v>
      </c>
      <c r="G51" s="1675" t="n">
        <v>98800</v>
      </c>
      <c r="H51" s="1675" t="n">
        <v>98800</v>
      </c>
      <c r="I51" s="1675" t="n">
        <v>98800</v>
      </c>
      <c r="J51" s="1675" t="n">
        <v>98800</v>
      </c>
      <c r="K51" s="1674" t="n">
        <v>98800</v>
      </c>
      <c r="L51" s="1674" t="n">
        <v>98800</v>
      </c>
      <c r="M51" s="2001">
        <f>SUM(G51:L51)</f>
        <v/>
      </c>
      <c r="N51" s="1674" t="n">
        <v>98800</v>
      </c>
      <c r="O51" s="1674" t="n">
        <v>98800</v>
      </c>
      <c r="P51" s="1674" t="n">
        <v>98800</v>
      </c>
      <c r="Q51" s="1674" t="n">
        <v>98800</v>
      </c>
      <c r="R51" s="1674" t="n">
        <v>98800</v>
      </c>
      <c r="S51" s="1674" t="n">
        <v>98800</v>
      </c>
      <c r="T51" s="2002">
        <f>SUM(N51:S51)</f>
        <v/>
      </c>
      <c r="U51" s="2003">
        <f>T51+M51</f>
        <v/>
      </c>
      <c r="V51" s="1969" t="s">
        <v>121</v>
      </c>
      <c r="W51" s="1970" t="n">
        <v>12276</v>
      </c>
      <c r="X51" s="1971" t="n"/>
      <c r="Y51" s="1971" t="n"/>
      <c r="Z51" s="1944">
        <f>PL!E431</f>
        <v/>
      </c>
      <c r="AA51" s="1944">
        <f>PL!I431</f>
        <v/>
      </c>
      <c r="AB51" s="1944">
        <f>PL!M431</f>
        <v/>
      </c>
      <c r="AC51" s="1944">
        <f>PL!Q431</f>
        <v/>
      </c>
      <c r="AD51" s="1944">
        <f>PL!U431</f>
        <v/>
      </c>
      <c r="AE51" s="1944">
        <f>PL!Y431</f>
        <v/>
      </c>
      <c r="AF51" s="1973">
        <f>SUBTOTAL(9,Z51:AE51)</f>
        <v/>
      </c>
      <c r="AG51" s="1944">
        <f>PL!AC431</f>
        <v/>
      </c>
      <c r="AH51" s="1944">
        <f>PL!AG431</f>
        <v/>
      </c>
      <c r="AI51" s="1944">
        <f>PL!AK431</f>
        <v/>
      </c>
      <c r="AJ51" s="1944">
        <f>PL!AO431</f>
        <v/>
      </c>
      <c r="AK51" s="1944">
        <f>PL!AS431</f>
        <v/>
      </c>
      <c r="AL51" s="1944">
        <f>PL!AW431</f>
        <v/>
      </c>
      <c r="AM51" s="1973">
        <f>SUBTOTAL(9,AG51:AL51)</f>
        <v/>
      </c>
      <c r="AN51" s="1975">
        <f>SUM(AF51,AM51)</f>
        <v/>
      </c>
    </row>
    <row r="52" spans="1:41">
      <c r="A52" s="1962" t="n">
        <v>13</v>
      </c>
      <c r="B52" s="1963" t="s">
        <v>126</v>
      </c>
      <c r="C52" s="1964" t="s">
        <v>118</v>
      </c>
      <c r="D52" s="2004" t="s">
        <v>127</v>
      </c>
      <c r="E52" s="2005" t="s">
        <v>120</v>
      </c>
      <c r="F52" s="1966" t="s">
        <v>85</v>
      </c>
      <c r="G52" s="1672" t="n">
        <v>1.2</v>
      </c>
      <c r="H52" s="1672" t="n">
        <v>1.2</v>
      </c>
      <c r="I52" s="1672" t="n">
        <v>1.2</v>
      </c>
      <c r="J52" s="1672" t="n">
        <v>1.2</v>
      </c>
      <c r="K52" s="1672" t="n">
        <v>1.2</v>
      </c>
      <c r="L52" s="1672" t="n">
        <v>1.2</v>
      </c>
      <c r="M52" s="1998">
        <f>SUM(G52:L52)</f>
        <v/>
      </c>
      <c r="N52" s="1672" t="n">
        <v>1.2</v>
      </c>
      <c r="O52" s="1672" t="n">
        <v>1.2</v>
      </c>
      <c r="P52" s="1672" t="n">
        <v>1.2</v>
      </c>
      <c r="Q52" s="1672" t="n">
        <v>1.2</v>
      </c>
      <c r="R52" s="1672" t="n">
        <v>1.2</v>
      </c>
      <c r="S52" s="1672" t="n">
        <v>1.2</v>
      </c>
      <c r="T52" s="1967">
        <f>SUM(N52:S52)</f>
        <v/>
      </c>
      <c r="U52" s="1968">
        <f>T52+M52</f>
        <v/>
      </c>
      <c r="V52" s="1969" t="s">
        <v>121</v>
      </c>
      <c r="W52" s="1970" t="n">
        <v>12276</v>
      </c>
      <c r="X52" s="1971" t="n"/>
      <c r="Y52" s="1971" t="n"/>
      <c r="Z52" s="1972" t="n"/>
      <c r="AB52" s="1944" t="n"/>
      <c r="AC52" s="1973" t="n"/>
      <c r="AD52" s="1973" t="n"/>
      <c r="AE52" s="1973" t="n"/>
      <c r="AF52" s="1973" t="n"/>
      <c r="AG52" s="1974" t="n"/>
      <c r="AH52" s="1974" t="n"/>
      <c r="AI52" s="1974" t="n"/>
    </row>
    <row r="53" spans="1:41">
      <c r="A53" s="1962" t="n">
        <v>13</v>
      </c>
      <c r="B53" s="1963" t="s">
        <v>126</v>
      </c>
      <c r="C53" s="1964" t="s">
        <v>118</v>
      </c>
      <c r="D53" s="2004" t="s">
        <v>127</v>
      </c>
      <c r="E53" s="2005" t="s">
        <v>120</v>
      </c>
      <c r="F53" s="1966" t="s">
        <v>87</v>
      </c>
      <c r="G53" s="1672" t="n">
        <v>1.1</v>
      </c>
      <c r="H53" s="1672" t="n">
        <v>1.1</v>
      </c>
      <c r="I53" s="1672" t="n">
        <v>1.1</v>
      </c>
      <c r="J53" s="1672" t="n">
        <v>1.1</v>
      </c>
      <c r="K53" s="1672" t="n">
        <v>1.1</v>
      </c>
      <c r="L53" s="1672" t="n">
        <v>1.1</v>
      </c>
      <c r="M53" s="1999">
        <f>SUM(G53:L53)</f>
        <v/>
      </c>
      <c r="N53" s="1672" t="n">
        <v>1.1</v>
      </c>
      <c r="O53" s="1672" t="n">
        <v>1.1</v>
      </c>
      <c r="P53" s="1672" t="n">
        <v>1.1</v>
      </c>
      <c r="Q53" s="1672" t="n">
        <v>1.1</v>
      </c>
      <c r="R53" s="1672" t="n">
        <v>1.1</v>
      </c>
      <c r="S53" s="1672" t="n">
        <v>1.1</v>
      </c>
      <c r="T53" s="1967">
        <f>SUM(N53:S53)</f>
        <v/>
      </c>
      <c r="U53" s="1968">
        <f>T53+M53</f>
        <v/>
      </c>
      <c r="V53" s="1969" t="s">
        <v>121</v>
      </c>
      <c r="W53" s="1970" t="n">
        <v>12276</v>
      </c>
      <c r="X53" s="1971" t="n"/>
      <c r="Y53" s="1971" t="n"/>
      <c r="Z53" s="1972" t="n"/>
      <c r="AB53" s="1944" t="n"/>
      <c r="AC53" s="1973" t="n"/>
      <c r="AD53" s="1973" t="n"/>
      <c r="AE53" s="1973" t="n"/>
      <c r="AF53" s="1973" t="n"/>
      <c r="AG53" s="1974" t="n"/>
      <c r="AH53" s="1974" t="n"/>
      <c r="AI53" s="1974" t="n"/>
    </row>
    <row r="54" spans="1:41">
      <c r="A54" s="1962" t="n">
        <v>13</v>
      </c>
      <c r="B54" s="1963" t="s">
        <v>126</v>
      </c>
      <c r="C54" s="1964" t="s">
        <v>118</v>
      </c>
      <c r="D54" s="2004" t="s">
        <v>127</v>
      </c>
      <c r="E54" s="2005" t="s">
        <v>120</v>
      </c>
      <c r="F54" s="1966" t="s">
        <v>88</v>
      </c>
      <c r="G54" s="1672" t="n"/>
      <c r="H54" s="1672" t="n"/>
      <c r="I54" s="1672" t="n"/>
      <c r="J54" s="1672" t="n"/>
      <c r="K54" s="1672" t="n"/>
      <c r="L54" s="1672" t="n"/>
      <c r="M54" s="1999">
        <f>SUM(G54:L54)</f>
        <v/>
      </c>
      <c r="N54" s="1672" t="n"/>
      <c r="O54" s="1672" t="n"/>
      <c r="P54" s="1672" t="n"/>
      <c r="Q54" s="1672" t="n"/>
      <c r="R54" s="1672" t="n"/>
      <c r="S54" s="1672" t="n"/>
      <c r="T54" s="1967">
        <f>SUM(N54:S54)</f>
        <v/>
      </c>
      <c r="U54" s="1968">
        <f>T54+M54</f>
        <v/>
      </c>
      <c r="V54" s="1969" t="s">
        <v>121</v>
      </c>
      <c r="W54" s="1970" t="n">
        <v>12276</v>
      </c>
      <c r="X54" s="1971" t="n"/>
      <c r="Y54" s="1971" t="n"/>
      <c r="Z54" s="1972" t="n"/>
      <c r="AB54" s="1944" t="n"/>
      <c r="AC54" s="1973" t="n"/>
      <c r="AD54" s="1973" t="n"/>
      <c r="AE54" s="1973" t="n"/>
      <c r="AF54" s="1973" t="n"/>
      <c r="AG54" s="1974" t="n"/>
      <c r="AH54" s="1974" t="n"/>
      <c r="AI54" s="1974" t="n"/>
    </row>
    <row r="55" spans="1:41">
      <c r="A55" s="1962" t="n">
        <v>13</v>
      </c>
      <c r="B55" s="1963" t="s">
        <v>126</v>
      </c>
      <c r="C55" s="1964" t="s">
        <v>118</v>
      </c>
      <c r="D55" s="2004" t="s">
        <v>127</v>
      </c>
      <c r="E55" s="2005" t="s">
        <v>120</v>
      </c>
      <c r="F55" s="2000" t="s">
        <v>89</v>
      </c>
      <c r="G55" s="1673" t="n">
        <v>62911.21</v>
      </c>
      <c r="H55" s="1673" t="n">
        <v>62732.83</v>
      </c>
      <c r="I55" s="1673" t="n">
        <v>63737.71000000001</v>
      </c>
      <c r="J55" s="1673" t="n">
        <v>62548.2</v>
      </c>
      <c r="K55" s="1672" t="n">
        <v>62244</v>
      </c>
      <c r="L55" s="1672" t="n">
        <v>62244</v>
      </c>
      <c r="M55" s="2001">
        <f>SUM(G55:L55)</f>
        <v/>
      </c>
      <c r="N55" s="1672" t="n">
        <v>62244</v>
      </c>
      <c r="O55" s="1672" t="n">
        <v>62244</v>
      </c>
      <c r="P55" s="1672" t="n">
        <v>62244</v>
      </c>
      <c r="Q55" s="1672" t="n">
        <v>62244</v>
      </c>
      <c r="R55" s="1672" t="n">
        <v>62244</v>
      </c>
      <c r="S55" s="1672" t="n">
        <v>62244</v>
      </c>
      <c r="T55" s="2002">
        <f>SUM(N55:S55)</f>
        <v/>
      </c>
      <c r="U55" s="2003">
        <f>T55+M55</f>
        <v/>
      </c>
      <c r="V55" s="1969" t="s">
        <v>121</v>
      </c>
      <c r="W55" s="1970" t="n">
        <v>12276</v>
      </c>
      <c r="X55" s="1971" t="n"/>
      <c r="Y55" s="1971" t="n"/>
      <c r="Z55" s="1972" t="n"/>
      <c r="AB55" s="1944" t="n"/>
      <c r="AC55" s="1973" t="n"/>
      <c r="AD55" s="1973" t="n"/>
      <c r="AE55" s="1973" t="n"/>
      <c r="AF55" s="1973" t="n"/>
      <c r="AG55" s="1974" t="n"/>
      <c r="AH55" s="1974" t="n"/>
      <c r="AI55" s="1974" t="n"/>
    </row>
    <row customFormat="1" r="56" s="1938" spans="1:41">
      <c r="A56" s="1962" t="n">
        <v>14</v>
      </c>
      <c r="B56" s="1976" t="s">
        <v>128</v>
      </c>
      <c r="C56" s="1964" t="s">
        <v>115</v>
      </c>
      <c r="D56" s="1976" t="s">
        <v>116</v>
      </c>
      <c r="E56" s="1976" t="s">
        <v>115</v>
      </c>
      <c r="F56" s="1976" t="s">
        <v>85</v>
      </c>
      <c r="G56" s="1674" t="n"/>
      <c r="H56" s="1674" t="n"/>
      <c r="I56" s="1674" t="n"/>
      <c r="J56" s="1674" t="n"/>
      <c r="K56" s="1674" t="n"/>
      <c r="L56" s="1674" t="n"/>
      <c r="M56" s="1406">
        <f>SUM(G56:L56)</f>
        <v/>
      </c>
      <c r="N56" s="1674" t="n"/>
      <c r="O56" s="1674" t="n"/>
      <c r="P56" s="1674" t="n"/>
      <c r="Q56" s="1674" t="n"/>
      <c r="R56" s="1674" t="n"/>
      <c r="S56" s="1674" t="n"/>
      <c r="T56" s="1967">
        <f>SUM(N56:S56)</f>
        <v/>
      </c>
      <c r="U56" s="1968">
        <f>T56+M56</f>
        <v/>
      </c>
      <c r="V56" s="1969" t="s">
        <v>110</v>
      </c>
      <c r="W56" s="1970" t="n">
        <v>12273</v>
      </c>
      <c r="X56" s="1938" t="n"/>
      <c r="Y56" s="1938" t="n"/>
      <c r="AB56" s="1938" t="s">
        <v>85</v>
      </c>
      <c r="AC56" s="1973" t="n">
        <v>2</v>
      </c>
      <c r="AD56" s="1973">
        <f>U56-AC56</f>
        <v/>
      </c>
      <c r="AE56" s="1974" t="n"/>
      <c r="AF56" s="1974" t="n"/>
      <c r="AG56" s="1974" t="n"/>
      <c r="AH56" s="1974" t="n"/>
    </row>
    <row customFormat="1" r="57" s="1938" spans="1:41">
      <c r="A57" s="1962" t="n">
        <v>14</v>
      </c>
      <c r="B57" s="1976" t="s">
        <v>128</v>
      </c>
      <c r="C57" s="1964" t="s">
        <v>115</v>
      </c>
      <c r="D57" s="1976" t="s">
        <v>116</v>
      </c>
      <c r="E57" s="1976" t="s">
        <v>115</v>
      </c>
      <c r="F57" s="1964" t="s">
        <v>87</v>
      </c>
      <c r="G57" s="1674" t="n"/>
      <c r="H57" s="1674" t="n"/>
      <c r="I57" s="1674" t="n"/>
      <c r="J57" s="1674" t="n">
        <v>1</v>
      </c>
      <c r="K57" s="1674" t="n">
        <v>1</v>
      </c>
      <c r="L57" s="1674" t="n">
        <v>1</v>
      </c>
      <c r="M57" s="1406">
        <f>SUM(G57:L57)</f>
        <v/>
      </c>
      <c r="N57" s="1674" t="n"/>
      <c r="O57" s="1674" t="n"/>
      <c r="P57" s="1674" t="n"/>
      <c r="Q57" s="1674" t="n">
        <v>1</v>
      </c>
      <c r="R57" s="1674" t="n">
        <v>1</v>
      </c>
      <c r="S57" s="1674" t="n">
        <v>1</v>
      </c>
      <c r="T57" s="1967">
        <f>SUM(N57:S57)</f>
        <v/>
      </c>
      <c r="U57" s="1968">
        <f>T57+M57</f>
        <v/>
      </c>
      <c r="V57" s="1969" t="s">
        <v>110</v>
      </c>
      <c r="W57" s="1970" t="n">
        <v>12273</v>
      </c>
      <c r="X57" s="1938" t="n"/>
      <c r="Y57" s="1938" t="n"/>
      <c r="AB57" s="1938" t="s">
        <v>129</v>
      </c>
      <c r="AC57" s="1973" t="n">
        <v>2</v>
      </c>
      <c r="AD57" s="1973">
        <f>U57-AC57</f>
        <v/>
      </c>
      <c r="AE57" s="1974" t="n"/>
      <c r="AF57" s="1974" t="n"/>
      <c r="AG57" s="1974" t="n"/>
      <c r="AH57" s="1974" t="n"/>
    </row>
    <row customFormat="1" r="58" s="1938" spans="1:41">
      <c r="A58" s="1962" t="n">
        <v>14</v>
      </c>
      <c r="B58" s="1976" t="s">
        <v>128</v>
      </c>
      <c r="C58" s="1964" t="s">
        <v>115</v>
      </c>
      <c r="D58" s="1976" t="s">
        <v>116</v>
      </c>
      <c r="E58" s="1976" t="s">
        <v>115</v>
      </c>
      <c r="F58" s="1976" t="s">
        <v>88</v>
      </c>
      <c r="G58" s="1674" t="n">
        <v>3</v>
      </c>
      <c r="H58" s="1674" t="n">
        <v>3</v>
      </c>
      <c r="I58" s="1674" t="n">
        <v>3</v>
      </c>
      <c r="J58" s="1674" t="n">
        <v>3</v>
      </c>
      <c r="K58" s="1674" t="n">
        <v>1</v>
      </c>
      <c r="L58" s="1674" t="n">
        <v>1</v>
      </c>
      <c r="M58" s="1406">
        <f>SUM(G58:L58)</f>
        <v/>
      </c>
      <c r="N58" s="1674" t="n">
        <v>1</v>
      </c>
      <c r="O58" s="1674" t="n">
        <v>1</v>
      </c>
      <c r="P58" s="1674" t="n">
        <v>1</v>
      </c>
      <c r="Q58" s="1674" t="n">
        <v>1</v>
      </c>
      <c r="R58" s="1674" t="n">
        <v>1</v>
      </c>
      <c r="S58" s="1674" t="n">
        <v>1</v>
      </c>
      <c r="T58" s="1967">
        <f>SUM(N58:S58)</f>
        <v/>
      </c>
      <c r="U58" s="1968">
        <f>T58+M58</f>
        <v/>
      </c>
      <c r="V58" s="1969" t="s">
        <v>110</v>
      </c>
      <c r="W58" s="1970" t="n">
        <v>12273</v>
      </c>
      <c r="X58" s="1938" t="n"/>
      <c r="Y58" s="1938" t="n"/>
      <c r="AB58" s="1938" t="s">
        <v>88</v>
      </c>
      <c r="AC58" s="1973" t="n">
        <v>0</v>
      </c>
      <c r="AD58" s="1973">
        <f>U58-AC58</f>
        <v/>
      </c>
      <c r="AE58" s="1974" t="n"/>
      <c r="AF58" s="1974" t="n"/>
      <c r="AG58" s="1974" t="n"/>
      <c r="AH58" s="1974" t="n"/>
    </row>
    <row customFormat="1" r="59" s="1938" spans="1:41">
      <c r="A59" s="1962" t="n">
        <v>14</v>
      </c>
      <c r="B59" s="1976" t="s">
        <v>128</v>
      </c>
      <c r="C59" s="1964" t="s">
        <v>115</v>
      </c>
      <c r="D59" s="1976" t="s">
        <v>116</v>
      </c>
      <c r="E59" s="1976" t="s">
        <v>115</v>
      </c>
      <c r="F59" s="1976" t="s">
        <v>89</v>
      </c>
      <c r="G59" s="1675" t="n"/>
      <c r="H59" s="1675" t="n"/>
      <c r="I59" s="1674" t="n"/>
      <c r="J59" s="1674" t="n"/>
      <c r="K59" s="1674" t="n"/>
      <c r="L59" s="1674" t="n"/>
      <c r="M59" s="1406">
        <f>SUM(G59:L59)</f>
        <v/>
      </c>
      <c r="N59" s="1674" t="n"/>
      <c r="O59" s="1674" t="n"/>
      <c r="P59" s="1674" t="n"/>
      <c r="Q59" s="1674" t="n"/>
      <c r="R59" s="1674" t="n"/>
      <c r="S59" s="1674" t="n"/>
      <c r="T59" s="2002">
        <f>SUM(N59:S59)</f>
        <v/>
      </c>
      <c r="U59" s="2003">
        <f>T59+M59</f>
        <v/>
      </c>
      <c r="V59" s="1969" t="s">
        <v>110</v>
      </c>
      <c r="W59" s="1970" t="n">
        <v>12273</v>
      </c>
      <c r="X59" s="1938" t="n"/>
      <c r="Y59" s="1938" t="n"/>
      <c r="Z59" s="1944">
        <f>PL!E358</f>
        <v/>
      </c>
      <c r="AA59" s="1944">
        <f>PL!I358</f>
        <v/>
      </c>
      <c r="AB59" s="1944">
        <f>PL!M358</f>
        <v/>
      </c>
      <c r="AC59" s="1944">
        <f>PL!Q358</f>
        <v/>
      </c>
      <c r="AD59" s="1944">
        <f>PL!U358</f>
        <v/>
      </c>
      <c r="AE59" s="1944">
        <f>PL!Y358</f>
        <v/>
      </c>
      <c r="AF59" s="1973">
        <f>SUBTOTAL(9,Z59:AE59)</f>
        <v/>
      </c>
      <c r="AG59" s="1944">
        <f>PL!AC358</f>
        <v/>
      </c>
      <c r="AH59" s="1944">
        <f>PL!AG358</f>
        <v/>
      </c>
      <c r="AI59" s="1944">
        <f>PL!AK358</f>
        <v/>
      </c>
      <c r="AJ59" s="1944">
        <f>PL!AO358</f>
        <v/>
      </c>
      <c r="AK59" s="1944">
        <f>PL!AS358</f>
        <v/>
      </c>
      <c r="AL59" s="1944">
        <f>PL!AW358</f>
        <v/>
      </c>
      <c r="AM59" s="1973">
        <f>SUBTOTAL(9,AG59:AL59)</f>
        <v/>
      </c>
      <c r="AN59" s="1975">
        <f>SUM(AF59,AM59)</f>
        <v/>
      </c>
    </row>
    <row r="60" spans="1:41">
      <c r="A60" s="1962" t="n"/>
      <c r="B60" s="1963" t="n"/>
      <c r="C60" s="1964" t="n"/>
      <c r="D60" s="1983" t="n"/>
      <c r="E60" s="1964" t="n"/>
      <c r="F60" s="1964" t="n"/>
      <c r="G60" s="1406" t="n"/>
      <c r="H60" s="1406" t="n"/>
      <c r="I60" s="1406" t="n"/>
      <c r="J60" s="1406" t="n"/>
      <c r="K60" s="1406" t="n"/>
      <c r="L60" s="1985" t="n"/>
      <c r="M60" s="1406" t="n"/>
      <c r="N60" s="1406" t="n"/>
      <c r="O60" s="1406" t="n"/>
      <c r="P60" s="1406" t="n"/>
      <c r="Q60" s="1406" t="n"/>
      <c r="R60" s="1406" t="n"/>
      <c r="S60" s="1985" t="n"/>
      <c r="T60" s="1986" t="n"/>
      <c r="U60" s="1987" t="n"/>
      <c r="V60" s="2006" t="n"/>
      <c r="W60" s="2006" t="n"/>
      <c r="X60" s="1972" t="n"/>
      <c r="Y60" s="1972" t="n"/>
      <c r="Z60" s="1944" t="n"/>
      <c r="AA60" s="1944" t="n"/>
      <c r="AB60" s="1973" t="n"/>
      <c r="AC60" s="1973" t="n"/>
      <c r="AD60" s="1973" t="n"/>
      <c r="AE60" s="1974" t="n"/>
      <c r="AF60" s="1974" t="n"/>
      <c r="AG60" s="1974" t="n"/>
      <c r="AH60" s="1974" t="n"/>
    </row>
    <row r="61" spans="1:41">
      <c r="A61" s="1962" t="n"/>
      <c r="B61" s="1963" t="n"/>
      <c r="C61" s="1964" t="n"/>
      <c r="D61" s="1983" t="n"/>
      <c r="E61" s="1964" t="n"/>
      <c r="F61" s="1964" t="n"/>
      <c r="G61" s="1406" t="n"/>
      <c r="H61" s="1406" t="n"/>
      <c r="I61" s="1406" t="n"/>
      <c r="J61" s="1406" t="n"/>
      <c r="K61" s="1406" t="n"/>
      <c r="L61" s="1985" t="n"/>
      <c r="M61" s="1406" t="n"/>
      <c r="N61" s="1406" t="n"/>
      <c r="O61" s="1406" t="n"/>
      <c r="P61" s="1406" t="n"/>
      <c r="Q61" s="1406" t="n"/>
      <c r="R61" s="1406" t="n"/>
      <c r="S61" s="1985" t="n"/>
      <c r="T61" s="1986" t="n"/>
      <c r="U61" s="1987" t="n"/>
      <c r="V61" s="2006" t="n"/>
      <c r="W61" s="2006" t="n"/>
      <c r="X61" s="1972" t="n"/>
      <c r="Y61" s="1972" t="n"/>
      <c r="Z61" s="1944" t="n"/>
      <c r="AA61" s="1944" t="n"/>
      <c r="AB61" s="1973" t="n"/>
      <c r="AC61" s="1973" t="n"/>
      <c r="AD61" s="1973" t="n"/>
      <c r="AE61" s="1974" t="n"/>
      <c r="AF61" s="1974" t="n"/>
      <c r="AG61" s="1974" t="n"/>
      <c r="AH61" s="1974" t="n"/>
    </row>
    <row r="62" spans="1:41">
      <c r="A62" s="1962" t="n"/>
      <c r="B62" s="1963" t="n"/>
      <c r="C62" s="1964" t="n"/>
      <c r="D62" s="1983" t="n"/>
      <c r="E62" s="1964" t="n"/>
      <c r="F62" s="1964" t="n"/>
      <c r="G62" s="1406" t="n"/>
      <c r="H62" s="1406" t="n"/>
      <c r="I62" s="1406" t="n"/>
      <c r="J62" s="1406" t="n"/>
      <c r="K62" s="1406" t="n"/>
      <c r="L62" s="1985" t="n"/>
      <c r="M62" s="1406" t="n"/>
      <c r="N62" s="1406" t="n"/>
      <c r="O62" s="1406" t="n"/>
      <c r="P62" s="1406" t="n"/>
      <c r="Q62" s="1406" t="n"/>
      <c r="R62" s="1406" t="n"/>
      <c r="S62" s="1985" t="n"/>
      <c r="T62" s="1986" t="n"/>
      <c r="U62" s="1987" t="n"/>
      <c r="V62" s="2006" t="n"/>
      <c r="W62" s="2006" t="n"/>
      <c r="X62" s="1972" t="n"/>
      <c r="Y62" s="1972" t="n"/>
      <c r="Z62" s="1944" t="n"/>
      <c r="AA62" s="1944" t="n"/>
      <c r="AB62" s="1973" t="n"/>
      <c r="AC62" s="1973" t="n"/>
      <c r="AD62" s="1973" t="n"/>
      <c r="AE62" s="1974" t="n"/>
      <c r="AF62" s="1974" t="n"/>
      <c r="AG62" s="1974" t="n"/>
      <c r="AH62" s="1974" t="n"/>
    </row>
    <row r="63" spans="1:41">
      <c r="A63" s="1962" t="n"/>
      <c r="B63" s="1963" t="n"/>
      <c r="C63" s="1964" t="n"/>
      <c r="D63" s="1983" t="n"/>
      <c r="E63" s="1964" t="n"/>
      <c r="F63" s="1964" t="n"/>
      <c r="G63" s="1406" t="n"/>
      <c r="H63" s="1406" t="n"/>
      <c r="I63" s="1406" t="n"/>
      <c r="J63" s="1406" t="n"/>
      <c r="K63" s="1406" t="n"/>
      <c r="L63" s="1985" t="n"/>
      <c r="M63" s="1406" t="n"/>
      <c r="N63" s="1406" t="n"/>
      <c r="O63" s="1406" t="n"/>
      <c r="P63" s="1406" t="n"/>
      <c r="Q63" s="1406" t="n"/>
      <c r="R63" s="1406" t="n"/>
      <c r="S63" s="1985" t="n"/>
      <c r="T63" s="1986" t="n"/>
      <c r="U63" s="1987" t="n"/>
      <c r="V63" s="2006" t="n"/>
      <c r="W63" s="2006" t="n"/>
      <c r="X63" s="1972" t="n"/>
      <c r="Y63" s="1972" t="n"/>
      <c r="Z63" s="1944" t="n"/>
      <c r="AA63" s="1944" t="n"/>
      <c r="AB63" s="1973" t="n"/>
      <c r="AC63" s="1973" t="n"/>
      <c r="AD63" s="1973" t="n"/>
      <c r="AE63" s="1974" t="n"/>
      <c r="AF63" s="1974" t="n"/>
      <c r="AG63" s="1974" t="n"/>
      <c r="AH63" s="1974" t="n"/>
    </row>
    <row r="64" spans="1:41">
      <c r="A64" s="1962" t="n"/>
      <c r="B64" s="1976" t="n"/>
      <c r="C64" s="1964" t="n"/>
      <c r="D64" s="1983" t="n"/>
      <c r="E64" s="1964" t="n"/>
      <c r="F64" s="1964" t="n"/>
      <c r="G64" s="1406" t="n"/>
      <c r="H64" s="1406" t="n"/>
      <c r="I64" s="1406" t="n"/>
      <c r="J64" s="1406" t="n"/>
      <c r="K64" s="1406" t="n"/>
      <c r="L64" s="1985" t="n"/>
      <c r="M64" s="1406" t="n"/>
      <c r="N64" s="1406" t="n"/>
      <c r="O64" s="1406" t="n"/>
      <c r="P64" s="1406" t="n"/>
      <c r="Q64" s="1406" t="n"/>
      <c r="R64" s="1406" t="n"/>
      <c r="S64" s="1985" t="n"/>
      <c r="T64" s="2007" t="n"/>
      <c r="U64" s="1981" t="n"/>
      <c r="V64" s="2006" t="n"/>
      <c r="W64" s="2006" t="n"/>
      <c r="X64" s="1972" t="n"/>
      <c r="Y64" s="1972" t="n"/>
      <c r="Z64" s="1944" t="n"/>
      <c r="AA64" s="1944" t="n"/>
      <c r="AB64" s="1973" t="n"/>
      <c r="AC64" s="1973" t="n"/>
      <c r="AD64" s="1973" t="n"/>
      <c r="AE64" s="1974" t="n"/>
      <c r="AF64" s="1974" t="n"/>
      <c r="AG64" s="1974" t="n"/>
      <c r="AH64" s="1974" t="n"/>
    </row>
    <row r="65" spans="1:41">
      <c r="A65" s="1962" t="n"/>
      <c r="B65" s="1976" t="n"/>
      <c r="C65" s="1964" t="n"/>
      <c r="D65" s="1983" t="n"/>
      <c r="E65" s="1964" t="n"/>
      <c r="F65" s="1964" t="n"/>
      <c r="G65" s="1406" t="n"/>
      <c r="H65" s="1406" t="n"/>
      <c r="I65" s="1406" t="n"/>
      <c r="J65" s="1406" t="n"/>
      <c r="K65" s="1406" t="n"/>
      <c r="L65" s="1985" t="n"/>
      <c r="M65" s="1406" t="n"/>
      <c r="N65" s="1406" t="n"/>
      <c r="O65" s="1406" t="n"/>
      <c r="P65" s="1406" t="n"/>
      <c r="Q65" s="1406" t="n"/>
      <c r="R65" s="1406" t="n"/>
      <c r="S65" s="1985" t="n"/>
      <c r="T65" s="2007" t="n"/>
      <c r="U65" s="1981" t="n"/>
      <c r="V65" s="2006" t="n"/>
      <c r="W65" s="2006" t="n"/>
      <c r="X65" s="1972" t="n"/>
      <c r="Y65" s="1972" t="n"/>
      <c r="Z65" s="1944" t="n"/>
      <c r="AA65" s="1944" t="n"/>
      <c r="AB65" s="1973" t="n"/>
      <c r="AC65" s="1973" t="n"/>
      <c r="AD65" s="1973" t="n"/>
      <c r="AE65" s="1974" t="n"/>
      <c r="AF65" s="1974" t="n"/>
      <c r="AG65" s="1974" t="n"/>
      <c r="AH65" s="1974" t="n"/>
    </row>
    <row r="66" spans="1:41">
      <c r="A66" s="1962" t="n"/>
      <c r="B66" s="1976" t="n"/>
      <c r="C66" s="1964" t="n"/>
      <c r="D66" s="1983" t="n"/>
      <c r="E66" s="1964" t="n"/>
      <c r="F66" s="1964" t="n"/>
      <c r="G66" s="1406" t="n"/>
      <c r="H66" s="1406" t="n"/>
      <c r="I66" s="1406" t="n"/>
      <c r="J66" s="1406" t="n"/>
      <c r="K66" s="1406" t="n"/>
      <c r="L66" s="1985" t="n"/>
      <c r="M66" s="1406" t="n"/>
      <c r="N66" s="1406" t="n"/>
      <c r="O66" s="1406" t="n"/>
      <c r="P66" s="1406" t="n"/>
      <c r="Q66" s="1406" t="n"/>
      <c r="R66" s="1406" t="n"/>
      <c r="S66" s="1985" t="n"/>
      <c r="T66" s="2007" t="n"/>
      <c r="U66" s="1981" t="n"/>
      <c r="V66" s="2006" t="n"/>
      <c r="W66" s="2006" t="n"/>
      <c r="X66" s="1972" t="n"/>
      <c r="Y66" s="1972" t="n"/>
      <c r="Z66" s="1944" t="n"/>
      <c r="AA66" s="1944" t="n"/>
      <c r="AB66" s="1973" t="n"/>
      <c r="AC66" s="1973" t="n"/>
      <c r="AD66" s="1973" t="n"/>
      <c r="AE66" s="1974" t="n"/>
      <c r="AF66" s="1974" t="n"/>
      <c r="AG66" s="1974" t="n"/>
      <c r="AH66" s="1974" t="n"/>
    </row>
    <row r="67" spans="1:41">
      <c r="A67" s="1962" t="n"/>
      <c r="B67" s="1976" t="n"/>
      <c r="C67" s="1964" t="n"/>
      <c r="D67" s="1983" t="n"/>
      <c r="E67" s="1964" t="n"/>
      <c r="F67" s="1964" t="n"/>
      <c r="G67" s="1406" t="n"/>
      <c r="H67" s="1406" t="n"/>
      <c r="I67" s="1406" t="n"/>
      <c r="J67" s="1406" t="n"/>
      <c r="K67" s="1406" t="n"/>
      <c r="L67" s="1985" t="n"/>
      <c r="M67" s="1406" t="n"/>
      <c r="N67" s="1406" t="n"/>
      <c r="O67" s="1406" t="n"/>
      <c r="P67" s="1406" t="n"/>
      <c r="Q67" s="1406" t="n"/>
      <c r="R67" s="1406" t="n"/>
      <c r="S67" s="1985" t="n"/>
      <c r="T67" s="2007" t="n"/>
      <c r="U67" s="1981" t="n"/>
      <c r="V67" s="2006" t="n"/>
      <c r="W67" s="2006" t="n"/>
      <c r="X67" s="1972" t="n"/>
      <c r="Y67" s="1972" t="n"/>
      <c r="Z67" s="1944" t="n"/>
      <c r="AA67" s="1944" t="n"/>
      <c r="AB67" s="1973" t="n"/>
      <c r="AC67" s="1973" t="n"/>
      <c r="AD67" s="1973" t="n"/>
      <c r="AE67" s="1974" t="n"/>
      <c r="AF67" s="1974" t="n"/>
      <c r="AG67" s="1974" t="n"/>
      <c r="AH67" s="1974" t="n"/>
    </row>
    <row customFormat="1" r="68" s="2008" spans="1:41">
      <c r="A68" s="2009" t="n"/>
      <c r="B68" s="2010" t="n"/>
      <c r="C68" s="2011" t="n"/>
      <c r="D68" s="2012" t="n"/>
      <c r="E68" s="2011" t="n"/>
      <c r="F68" s="2013" t="s">
        <v>85</v>
      </c>
      <c r="G68" s="2014">
        <f>SUMIF($F$4:$F$67,$F$68,G$4:G$67)</f>
        <v/>
      </c>
      <c r="H68" s="2014">
        <f>SUMIF($F$4:$F$67,$F$68,H$4:H$67)</f>
        <v/>
      </c>
      <c r="I68" s="2014">
        <f>SUMIF($F$4:$F$67,$F$68,I$4:I$67)</f>
        <v/>
      </c>
      <c r="J68" s="2014">
        <f>SUMIF($F$4:$F$67,$F$68,J$4:J$67)</f>
        <v/>
      </c>
      <c r="K68" s="2014">
        <f>SUMIF($F$4:$F$67,$F$68,K$4:K$67)</f>
        <v/>
      </c>
      <c r="L68" s="2014">
        <f>SUMIF($F$4:$F$67,$F$68,L$4:L$67)</f>
        <v/>
      </c>
      <c r="M68" s="2015">
        <f>SUMIF($F$4:$F$67,$F$68,M$4:M$67)</f>
        <v/>
      </c>
      <c r="N68" s="2014">
        <f>SUMIF($F$4:$F$67,$F$68,N$4:N$67)</f>
        <v/>
      </c>
      <c r="O68" s="2014">
        <f>SUMIF($F$4:$F$67,$F$68,O$4:O$67)</f>
        <v/>
      </c>
      <c r="P68" s="2014">
        <f>SUMIF($F$4:$F$67,$F$68,P$4:P$67)</f>
        <v/>
      </c>
      <c r="Q68" s="2014">
        <f>SUMIF($F$4:$F$67,$F$68,Q$4:Q$67)</f>
        <v/>
      </c>
      <c r="R68" s="2014">
        <f>SUMIF($F$4:$F$67,$F$68,R$4:R$67)</f>
        <v/>
      </c>
      <c r="S68" s="2014">
        <f>SUMIF($F$4:$F$67,$F$68,S$4:S$67)</f>
        <v/>
      </c>
      <c r="T68" s="2015">
        <f>SUMIF($F$4:$F$67,$F$68,T$4:T$67)</f>
        <v/>
      </c>
      <c r="U68" s="2014">
        <f>SUMIF($F$4:$F$67,$F$68,U$4:U$67)</f>
        <v/>
      </c>
      <c r="V68" s="2016" t="n"/>
      <c r="W68" s="2008" t="n"/>
      <c r="X68" s="2017" t="n"/>
      <c r="Y68" s="2017" t="n"/>
      <c r="Z68" s="1944" t="n"/>
      <c r="AA68" s="2018" t="n"/>
      <c r="AB68" s="2008" t="n"/>
      <c r="AC68" s="2019" t="n"/>
      <c r="AD68" s="1973" t="n"/>
      <c r="AE68" s="1973" t="n"/>
      <c r="AF68" s="1973" t="n"/>
      <c r="AG68" s="1974" t="n"/>
      <c r="AH68" s="1974" t="n"/>
      <c r="AI68" s="2008" t="n"/>
      <c r="AJ68" s="2008" t="n"/>
      <c r="AK68" s="2008" t="n"/>
      <c r="AL68" s="2008" t="n"/>
      <c r="AM68" s="2008" t="n"/>
      <c r="AN68" s="2008" t="n"/>
      <c r="AO68" s="1938" t="n"/>
    </row>
    <row customFormat="1" r="69" s="2008" spans="1:41">
      <c r="A69" s="2020" t="s">
        <v>130</v>
      </c>
      <c r="C69" s="2011" t="n"/>
      <c r="D69" s="2012" t="n"/>
      <c r="E69" s="2011" t="n"/>
      <c r="F69" s="2013" t="s">
        <v>87</v>
      </c>
      <c r="G69" s="2014">
        <f>SUMIF($F$4:$F$67,$F$69,G$4:G$67)</f>
        <v/>
      </c>
      <c r="H69" s="2014">
        <f>SUMIF($F$4:$F$67,$F$69,H$4:H$67)</f>
        <v/>
      </c>
      <c r="I69" s="2014">
        <f>SUMIF($F$4:$F$67,$F$69,I$4:I$67)</f>
        <v/>
      </c>
      <c r="J69" s="2014">
        <f>SUMIF($F$4:$F$67,$F$69,J$4:J$67)</f>
        <v/>
      </c>
      <c r="K69" s="2014">
        <f>SUMIF($F$4:$F$67,$F$69,K$4:K$67)</f>
        <v/>
      </c>
      <c r="L69" s="2014">
        <f>SUMIF($F$4:$F$67,$F$69,L$4:L$67)</f>
        <v/>
      </c>
      <c r="M69" s="2015">
        <f>SUMIF($F$4:$F$67,$F$69,M$4:M$67)</f>
        <v/>
      </c>
      <c r="N69" s="2014">
        <f>SUMIF($F$4:$F$67,$F$69,N$4:N$67)</f>
        <v/>
      </c>
      <c r="O69" s="2014">
        <f>SUMIF($F$4:$F$67,$F$69,O$4:O$67)</f>
        <v/>
      </c>
      <c r="P69" s="2014">
        <f>SUMIF($F$4:$F$67,$F$69,P$4:P$67)</f>
        <v/>
      </c>
      <c r="Q69" s="2014">
        <f>SUMIF($F$4:$F$67,$F$69,Q$4:Q$67)</f>
        <v/>
      </c>
      <c r="R69" s="2014">
        <f>SUMIF($F$4:$F$67,$F$69,R$4:R$67)</f>
        <v/>
      </c>
      <c r="S69" s="2014">
        <f>SUMIF($F$4:$F$67,$F$69,S$4:S$67)</f>
        <v/>
      </c>
      <c r="T69" s="2015">
        <f>SUMIF($F$4:$F$67,$F$69,T$4:T$67)</f>
        <v/>
      </c>
      <c r="U69" s="2014">
        <f>SUMIF($F$4:$F$67,$F$69,U$4:U$67)</f>
        <v/>
      </c>
      <c r="V69" s="2016" t="n"/>
      <c r="W69" s="2008" t="n"/>
      <c r="X69" s="2017" t="n"/>
      <c r="Y69" s="2017" t="n"/>
      <c r="Z69" s="1944" t="n"/>
      <c r="AA69" s="2018" t="n"/>
      <c r="AB69" s="2008" t="n"/>
      <c r="AC69" s="2019" t="n"/>
      <c r="AD69" s="1973" t="n"/>
      <c r="AE69" s="1973" t="n"/>
      <c r="AF69" s="1973" t="n"/>
      <c r="AG69" s="1974" t="n"/>
      <c r="AH69" s="1974" t="n"/>
      <c r="AI69" s="2008" t="n"/>
      <c r="AJ69" s="2008" t="n"/>
      <c r="AK69" s="2008" t="n"/>
      <c r="AL69" s="2008" t="n"/>
      <c r="AM69" s="2008" t="n"/>
      <c r="AN69" s="2008" t="n"/>
      <c r="AO69" s="1938" t="n"/>
    </row>
    <row customFormat="1" r="70" s="2008" spans="1:41">
      <c r="C70" s="2021" t="n"/>
      <c r="D70" s="2022" t="n"/>
      <c r="E70" s="2021" t="n"/>
      <c r="F70" s="2023" t="s">
        <v>88</v>
      </c>
      <c r="G70" s="2014">
        <f>SUMIF($F$4:$F$67,$F$70,G$4:G$67)</f>
        <v/>
      </c>
      <c r="H70" s="2014">
        <f>SUMIF($F$4:$F$67,$F$70,H$4:H$67)</f>
        <v/>
      </c>
      <c r="I70" s="2014">
        <f>SUMIF($F$4:$F$67,$F$70,I$4:I$67)</f>
        <v/>
      </c>
      <c r="J70" s="2014">
        <f>SUMIF($F$4:$F$67,$F$70,J$4:J$67)</f>
        <v/>
      </c>
      <c r="K70" s="2014">
        <f>SUMIF($F$4:$F$67,$F$70,K$4:K$67)</f>
        <v/>
      </c>
      <c r="L70" s="2014">
        <f>SUMIF($F$4:$F$67,$F$70,L$4:L$67)</f>
        <v/>
      </c>
      <c r="M70" s="2015">
        <f>SUMIF($F$4:$F$67,$F$70,M$4:M$67)</f>
        <v/>
      </c>
      <c r="N70" s="2024">
        <f>SUMIF($F$4:$F$67,$F$70,N$4:N$67)</f>
        <v/>
      </c>
      <c r="O70" s="2024">
        <f>SUMIF($F$4:$F$67,$F$70,O$4:O$67)</f>
        <v/>
      </c>
      <c r="P70" s="2024">
        <f>SUMIF($F$4:$F$67,$F$70,P$4:P$67)</f>
        <v/>
      </c>
      <c r="Q70" s="2024">
        <f>SUMIF($F$4:$F$67,$F$70,Q$4:Q$67)</f>
        <v/>
      </c>
      <c r="R70" s="2024">
        <f>SUMIF($F$4:$F$67,$F$70,R$4:R$67)</f>
        <v/>
      </c>
      <c r="S70" s="2024">
        <f>SUMIF($F$4:$F$67,$F$70,S$4:S$67)</f>
        <v/>
      </c>
      <c r="T70" s="2015">
        <f>SUMIF($F$4:$F$67,$F$70,T$4:T$67)</f>
        <v/>
      </c>
      <c r="U70" s="2025">
        <f>SUMIF($F$4:$F$67,$F$70,U$4:U$67)</f>
        <v/>
      </c>
      <c r="V70" s="2026" t="n"/>
      <c r="W70" s="2008" t="n"/>
      <c r="X70" s="2008" t="n"/>
      <c r="Y70" s="2008" t="n"/>
      <c r="Z70" s="1944" t="n"/>
      <c r="AA70" s="2018" t="n"/>
      <c r="AB70" s="2008" t="n"/>
      <c r="AC70" s="2019" t="n"/>
      <c r="AD70" s="1973" t="n"/>
      <c r="AE70" s="1973" t="n"/>
      <c r="AF70" s="1973" t="n"/>
      <c r="AG70" s="1974" t="n"/>
      <c r="AH70" s="1974" t="n"/>
      <c r="AI70" s="2008" t="n"/>
      <c r="AJ70" s="2008" t="n"/>
      <c r="AK70" s="2008" t="n"/>
      <c r="AL70" s="2008" t="n"/>
      <c r="AM70" s="2008" t="n"/>
      <c r="AN70" s="2008" t="n"/>
      <c r="AO70" s="2008" t="n"/>
    </row>
    <row customFormat="1" r="71" s="2008" spans="1:41">
      <c r="C71" s="2021" t="n"/>
      <c r="D71" s="2022" t="n"/>
      <c r="E71" s="2021" t="n"/>
      <c r="F71" s="2023" t="s">
        <v>89</v>
      </c>
      <c r="G71" s="2014">
        <f>SUMIF($F$4:$F$67,$F$71,G$4:G$67)</f>
        <v/>
      </c>
      <c r="H71" s="2014">
        <f>SUMIF($F$4:$F$67,$F$71,H$4:H$67)</f>
        <v/>
      </c>
      <c r="I71" s="2014">
        <f>SUMIF($F$4:$F$67,$F$71,I$4:I$67)</f>
        <v/>
      </c>
      <c r="J71" s="2014">
        <f>SUMIF($F$4:$F$67,$F$71,J$4:J$67)</f>
        <v/>
      </c>
      <c r="K71" s="2014">
        <f>SUMIF($F$4:$F$67,$F$71,K$4:K$67)</f>
        <v/>
      </c>
      <c r="L71" s="2014">
        <f>SUMIF($F$4:$F$67,$F$71,L$4:L$67)</f>
        <v/>
      </c>
      <c r="M71" s="2015">
        <f>SUMIF($F$4:$F$67,$F$71,M$4:M$67)</f>
        <v/>
      </c>
      <c r="N71" s="2024">
        <f>SUMIF($F$4:$F$67,$F$71,N$4:N$67)</f>
        <v/>
      </c>
      <c r="O71" s="2024">
        <f>SUMIF($F$4:$F$67,$F$71,O$4:O$67)</f>
        <v/>
      </c>
      <c r="P71" s="2024">
        <f>SUMIF($F$4:$F$67,$F$71,P$4:P$67)</f>
        <v/>
      </c>
      <c r="Q71" s="2024">
        <f>SUMIF($F$4:$F$67,$F$71,Q$4:Q$67)</f>
        <v/>
      </c>
      <c r="R71" s="2024">
        <f>SUMIF($F$4:$F$67,$F$71,R$4:R$67)</f>
        <v/>
      </c>
      <c r="S71" s="2024">
        <f>SUMIF($F$4:$F$67,$F$71,S$4:S$67)</f>
        <v/>
      </c>
      <c r="T71" s="2015">
        <f>SUMIF($F$4:$F$67,$F$71,T$4:T$67)</f>
        <v/>
      </c>
      <c r="U71" s="2025">
        <f>SUMIF($F$4:$F$67,$F$71,U$4:U$67)</f>
        <v/>
      </c>
      <c r="V71" s="2026" t="n"/>
      <c r="W71" s="2008" t="n"/>
      <c r="X71" s="2017" t="n"/>
      <c r="Y71" s="2017" t="n"/>
      <c r="Z71" s="1944" t="n"/>
      <c r="AA71" s="2027" t="n"/>
      <c r="AB71" s="2008" t="n"/>
      <c r="AC71" s="2019" t="n"/>
      <c r="AD71" s="1973" t="n"/>
      <c r="AE71" s="1973" t="n"/>
      <c r="AF71" s="1973" t="n"/>
      <c r="AG71" s="1974" t="n"/>
      <c r="AH71" s="1974" t="n"/>
      <c r="AI71" s="2008" t="n"/>
      <c r="AJ71" s="2008" t="n"/>
      <c r="AK71" s="2008" t="n"/>
      <c r="AL71" s="2008" t="n"/>
      <c r="AM71" s="2008" t="n"/>
      <c r="AN71" s="2008" t="n"/>
      <c r="AO71" s="2008" t="n"/>
    </row>
    <row customFormat="1" r="72" s="2028" spans="1:41">
      <c r="B72" s="2029" t="n">
        <v>12277</v>
      </c>
      <c r="C72" s="2030" t="n"/>
      <c r="D72" s="2031" t="n"/>
      <c r="E72" s="2030" t="n"/>
      <c r="F72" s="2032" t="n"/>
      <c r="G72" s="2033">
        <f>SUMIFS(G$5:G$67,$W$5:$W$67,$B72,$F$5:$F$67,"Revenue")</f>
        <v/>
      </c>
      <c r="H72" s="2033">
        <f>SUMIFS(H$5:H$67,$W$5:$W$67,$B72,$F$5:$F$67,"Revenue")</f>
        <v/>
      </c>
      <c r="I72" s="2033">
        <f>SUMIFS(I$5:I$67,$W$5:$W$67,$B72,$F$5:$F$67,"Revenue")</f>
        <v/>
      </c>
      <c r="J72" s="2033">
        <f>SUMIFS(J$5:J$67,$W$5:$W$67,$B72,$F$5:$F$67,"Revenue")</f>
        <v/>
      </c>
      <c r="K72" s="2033">
        <f>SUMIFS(K$5:K$67,$W$5:$W$67,$B72,$F$5:$F$67,"Revenue")</f>
        <v/>
      </c>
      <c r="L72" s="2033">
        <f>SUMIFS(L$5:L$67,$W$5:$W$67,$B72,$F$5:$F$67,"Revenue")</f>
        <v/>
      </c>
      <c r="M72" s="2033">
        <f>SUMIFS(M$5:M$67,$W$5:$W$67,$B72,$F$5:$F$67,"Revenue")</f>
        <v/>
      </c>
      <c r="N72" s="2033">
        <f>SUMIFS(N$5:N$67,$W$5:$W$67,$B72,$F$5:$F$67,"Revenue")</f>
        <v/>
      </c>
      <c r="O72" s="2033">
        <f>SUMIFS(O$5:O$67,$W$5:$W$67,$B72,$F$5:$F$67,"Revenue")</f>
        <v/>
      </c>
      <c r="P72" s="2033">
        <f>SUMIFS(P$5:P$67,$W$5:$W$67,$B72,$F$5:$F$67,"Revenue")</f>
        <v/>
      </c>
      <c r="Q72" s="2033">
        <f>SUMIFS(Q$5:Q$67,$W$5:$W$67,$B72,$F$5:$F$67,"Revenue")</f>
        <v/>
      </c>
      <c r="R72" s="2033">
        <f>SUMIFS(R$5:R$67,$W$5:$W$67,$B72,$F$5:$F$67,"Revenue")</f>
        <v/>
      </c>
      <c r="S72" s="2033">
        <f>SUMIFS(S$5:S$67,$W$5:$W$67,$B72,$F$5:$F$67,"Revenue")</f>
        <v/>
      </c>
      <c r="T72" s="2033">
        <f>SUMIFS(T$5:T$67,$W$5:$W$67,$B72,$F$5:$F$67,"Revenue")</f>
        <v/>
      </c>
      <c r="U72" s="2033">
        <f>SUMIFS(U$5:U$67,$W$5:$W$67,$B72,$F$5:$F$67,"Revenue")</f>
        <v/>
      </c>
      <c r="V72" s="457" t="n"/>
      <c r="W72" s="2029" t="n">
        <v>12277</v>
      </c>
      <c r="X72" s="2034" t="n"/>
      <c r="Y72" s="2034" t="n"/>
      <c r="Z72" s="1944" t="n"/>
      <c r="AA72" s="2027" t="n"/>
      <c r="AB72" s="2028" t="n"/>
      <c r="AC72" s="2028" t="n"/>
      <c r="AD72" s="1973" t="n"/>
      <c r="AE72" s="1973" t="n"/>
      <c r="AF72" s="1973" t="n"/>
      <c r="AG72" s="1974" t="n"/>
      <c r="AH72" s="1974" t="n"/>
      <c r="AI72" s="2028" t="n"/>
      <c r="AJ72" s="2028" t="n"/>
      <c r="AK72" s="2028" t="n"/>
      <c r="AL72" s="2028" t="n"/>
      <c r="AM72" s="2028" t="n"/>
      <c r="AN72" s="2028" t="n"/>
      <c r="AO72" s="2028" t="n"/>
    </row>
    <row customFormat="1" r="73" s="2035" spans="1:41">
      <c r="B73" s="2036" t="n">
        <v>12272</v>
      </c>
      <c r="C73" s="2037" t="n"/>
      <c r="D73" s="2038" t="n"/>
      <c r="E73" s="2037" t="n"/>
      <c r="F73" s="2039" t="n"/>
      <c r="G73" s="2040">
        <f>SUMIFS(G$5:G$67,$W$5:$W$67,$B73,$F$5:$F$67,"Revenue")</f>
        <v/>
      </c>
      <c r="H73" s="2040">
        <f>SUMIFS(H$5:H$67,$W$5:$W$67,$B73,$F$5:$F$67,"Revenue")</f>
        <v/>
      </c>
      <c r="I73" s="2040">
        <f>SUMIFS(I$5:I$67,$W$5:$W$67,$B73,$F$5:$F$67,"Revenue")</f>
        <v/>
      </c>
      <c r="J73" s="2040">
        <f>SUMIFS(J$5:J$67,$W$5:$W$67,$B73,$F$5:$F$67,"Revenue")</f>
        <v/>
      </c>
      <c r="K73" s="2040">
        <f>SUMIFS(K$5:K$67,$W$5:$W$67,$B73,$F$5:$F$67,"Revenue")</f>
        <v/>
      </c>
      <c r="L73" s="2040">
        <f>SUMIFS(L$5:L$67,$W$5:$W$67,$B73,$F$5:$F$67,"Revenue")</f>
        <v/>
      </c>
      <c r="M73" s="2040">
        <f>SUMIFS(M$5:M$67,$W$5:$W$67,$B73,$F$5:$F$67,"Revenue")</f>
        <v/>
      </c>
      <c r="N73" s="2040">
        <f>SUMIFS(N$5:N$67,$W$5:$W$67,$B73,$F$5:$F$67,"Revenue")</f>
        <v/>
      </c>
      <c r="O73" s="2040">
        <f>SUMIFS(O$5:O$67,$W$5:$W$67,$B73,$F$5:$F$67,"Revenue")</f>
        <v/>
      </c>
      <c r="P73" s="2040">
        <f>SUMIFS(P$5:P$67,$W$5:$W$67,$B73,$F$5:$F$67,"Revenue")</f>
        <v/>
      </c>
      <c r="Q73" s="2040">
        <f>SUMIFS(Q$5:Q$67,$W$5:$W$67,$B73,$F$5:$F$67,"Revenue")</f>
        <v/>
      </c>
      <c r="R73" s="2040">
        <f>SUMIFS(R$5:R$67,$W$5:$W$67,$B73,$F$5:$F$67,"Revenue")</f>
        <v/>
      </c>
      <c r="S73" s="2040">
        <f>SUMIFS(S$5:S$67,$W$5:$W$67,$B73,$F$5:$F$67,"Revenue")</f>
        <v/>
      </c>
      <c r="T73" s="2040">
        <f>SUMIFS(T$5:T$67,$W$5:$W$67,$B73,$F$5:$F$67,"Revenue")</f>
        <v/>
      </c>
      <c r="U73" s="2040">
        <f>SUMIFS(U$5:U$67,$W$5:$W$67,$B73,$F$5:$F$67,"Revenue")</f>
        <v/>
      </c>
      <c r="V73" s="465" t="n"/>
      <c r="W73" s="2036" t="n">
        <v>12272</v>
      </c>
      <c r="X73" s="2041" t="n"/>
      <c r="Y73" s="2041" t="n"/>
      <c r="Z73" s="1944" t="n"/>
      <c r="AA73" s="2027" t="n"/>
      <c r="AB73" s="2035" t="n"/>
      <c r="AC73" s="2035" t="n"/>
      <c r="AD73" s="1973" t="n"/>
      <c r="AE73" s="1973" t="n"/>
      <c r="AF73" s="1973" t="n"/>
      <c r="AG73" s="1974" t="n"/>
      <c r="AH73" s="1974" t="n"/>
      <c r="AI73" s="2035" t="n"/>
      <c r="AJ73" s="2035" t="n"/>
      <c r="AK73" s="2035" t="n"/>
      <c r="AL73" s="2035" t="n"/>
      <c r="AM73" s="2035" t="n"/>
      <c r="AN73" s="2035" t="n"/>
      <c r="AO73" s="2035" t="n"/>
    </row>
    <row customFormat="1" r="74" s="2042" spans="1:41">
      <c r="B74" s="2043" t="n">
        <v>12273</v>
      </c>
      <c r="C74" s="2044" t="n"/>
      <c r="D74" s="2045" t="n"/>
      <c r="E74" s="2044" t="n"/>
      <c r="F74" s="2046" t="n"/>
      <c r="G74" s="2047">
        <f>SUMIFS(G$5:G$67,$W$5:$W$67,$B74,$F$5:$F$67,"Revenue")</f>
        <v/>
      </c>
      <c r="H74" s="2047">
        <f>SUMIFS(H$5:H$67,$W$5:$W$67,$B74,$F$5:$F$67,"Revenue")</f>
        <v/>
      </c>
      <c r="I74" s="2047">
        <f>SUMIFS(I$5:I$67,$W$5:$W$67,$B74,$F$5:$F$67,"Revenue")</f>
        <v/>
      </c>
      <c r="J74" s="2047">
        <f>SUMIFS(J$5:J$67,$W$5:$W$67,$B74,$F$5:$F$67,"Revenue")</f>
        <v/>
      </c>
      <c r="K74" s="2047">
        <f>SUMIFS(K$5:K$67,$W$5:$W$67,$B74,$F$5:$F$67,"Revenue")</f>
        <v/>
      </c>
      <c r="L74" s="2047">
        <f>SUMIFS(L$5:L$67,$W$5:$W$67,$B74,$F$5:$F$67,"Revenue")</f>
        <v/>
      </c>
      <c r="M74" s="2047">
        <f>SUMIFS(M$5:M$67,$W$5:$W$67,$B74,$F$5:$F$67,"Revenue")</f>
        <v/>
      </c>
      <c r="N74" s="2047">
        <f>SUMIFS(N$5:N$67,$W$5:$W$67,$B74,$F$5:$F$67,"Revenue")</f>
        <v/>
      </c>
      <c r="O74" s="2047">
        <f>SUMIFS(O$5:O$67,$W$5:$W$67,$B74,$F$5:$F$67,"Revenue")</f>
        <v/>
      </c>
      <c r="P74" s="2047">
        <f>SUMIFS(P$5:P$67,$W$5:$W$67,$B74,$F$5:$F$67,"Revenue")</f>
        <v/>
      </c>
      <c r="Q74" s="2047">
        <f>SUMIFS(Q$5:Q$67,$W$5:$W$67,$B74,$F$5:$F$67,"Revenue")</f>
        <v/>
      </c>
      <c r="R74" s="2047">
        <f>SUMIFS(R$5:R$67,$W$5:$W$67,$B74,$F$5:$F$67,"Revenue")</f>
        <v/>
      </c>
      <c r="S74" s="2047">
        <f>SUMIFS(S$5:S$67,$W$5:$W$67,$B74,$F$5:$F$67,"Revenue")</f>
        <v/>
      </c>
      <c r="T74" s="2047">
        <f>SUMIFS(T$5:T$67,$W$5:$W$67,$B74,$F$5:$F$67,"Revenue")</f>
        <v/>
      </c>
      <c r="U74" s="2047">
        <f>SUMIFS(U$5:U$67,$W$5:$W$67,$B74,$F$5:$F$67,"Revenue")</f>
        <v/>
      </c>
      <c r="V74" s="473" t="n"/>
      <c r="W74" s="2043" t="n">
        <v>12273</v>
      </c>
      <c r="X74" s="2048" t="n"/>
      <c r="Y74" s="2048" t="n"/>
      <c r="Z74" s="1944" t="n"/>
      <c r="AA74" s="2027" t="n"/>
      <c r="AB74" s="2042" t="n"/>
      <c r="AC74" s="2042" t="n"/>
      <c r="AD74" s="1973" t="n"/>
      <c r="AE74" s="1973" t="n"/>
      <c r="AF74" s="1973" t="n"/>
      <c r="AG74" s="1974" t="n"/>
      <c r="AH74" s="1974" t="n"/>
      <c r="AI74" s="2042" t="n"/>
      <c r="AJ74" s="2042" t="n"/>
      <c r="AK74" s="2042" t="n"/>
      <c r="AL74" s="2042" t="n"/>
      <c r="AM74" s="2042" t="n"/>
      <c r="AN74" s="2042" t="n"/>
      <c r="AO74" s="2042" t="n"/>
    </row>
    <row customFormat="1" r="75" s="1944" spans="1:41">
      <c r="B75" s="2008" t="n">
        <v>12278</v>
      </c>
      <c r="C75" s="1944" t="n"/>
      <c r="D75" s="1946" t="n"/>
      <c r="E75" s="1944" t="n"/>
      <c r="F75" s="1947" t="n"/>
      <c r="G75" s="2049">
        <f>SUMIFS(G$5:G$67,$W$5:$W$67,$B75,$F$5:$F$67,"Revenue")</f>
        <v/>
      </c>
      <c r="H75" s="2049">
        <f>SUMIFS(H$5:H$67,$W$5:$W$67,$B75,$F$5:$F$67,"Revenue")</f>
        <v/>
      </c>
      <c r="I75" s="2049">
        <f>SUMIFS(I$5:I$67,$W$5:$W$67,$B75,$F$5:$F$67,"Revenue")</f>
        <v/>
      </c>
      <c r="J75" s="2049">
        <f>SUMIFS(J$5:J$67,$W$5:$W$67,$B75,$F$5:$F$67,"Revenue")</f>
        <v/>
      </c>
      <c r="K75" s="2049">
        <f>SUMIFS(K$5:K$67,$W$5:$W$67,$B75,$F$5:$F$67,"Revenue")</f>
        <v/>
      </c>
      <c r="L75" s="2049">
        <f>SUMIFS(L$5:L$67,$W$5:$W$67,$B75,$F$5:$F$67,"Revenue")</f>
        <v/>
      </c>
      <c r="M75" s="2049">
        <f>SUMIFS(M$5:M$67,$W$5:$W$67,$B75,$F$5:$F$67,"Revenue")</f>
        <v/>
      </c>
      <c r="N75" s="2049">
        <f>SUMIFS(N$5:N$67,$W$5:$W$67,$B75,$F$5:$F$67,"Revenue")</f>
        <v/>
      </c>
      <c r="O75" s="2049">
        <f>SUMIFS(O$5:O$67,$W$5:$W$67,$B75,$F$5:$F$67,"Revenue")</f>
        <v/>
      </c>
      <c r="P75" s="2049">
        <f>SUMIFS(P$5:P$67,$W$5:$W$67,$B75,$F$5:$F$67,"Revenue")</f>
        <v/>
      </c>
      <c r="Q75" s="2049">
        <f>SUMIFS(Q$5:Q$67,$W$5:$W$67,$B75,$F$5:$F$67,"Revenue")</f>
        <v/>
      </c>
      <c r="R75" s="2049">
        <f>SUMIFS(R$5:R$67,$W$5:$W$67,$B75,$F$5:$F$67,"Revenue")</f>
        <v/>
      </c>
      <c r="S75" s="2049">
        <f>SUMIFS(S$5:S$67,$W$5:$W$67,$B75,$F$5:$F$67,"Revenue")</f>
        <v/>
      </c>
      <c r="T75" s="2049">
        <f>SUMIFS(T$5:T$67,$W$5:$W$67,$B75,$F$5:$F$67,"Revenue")</f>
        <v/>
      </c>
      <c r="U75" s="2049">
        <f>SUMIFS(U$5:U$67,$W$5:$W$67,$B75,$F$5:$F$67,"Revenue")</f>
        <v/>
      </c>
      <c r="V75" s="868" t="n"/>
      <c r="W75" s="2008" t="n">
        <v>12278</v>
      </c>
      <c r="X75" s="1944" t="n"/>
      <c r="Y75" s="1944" t="n"/>
      <c r="Z75" s="1944" t="n"/>
      <c r="AA75" s="2042" t="n"/>
      <c r="AB75" s="1944" t="n"/>
      <c r="AC75" s="1944" t="n"/>
      <c r="AD75" s="1973" t="n"/>
      <c r="AE75" s="1974" t="n"/>
      <c r="AF75" s="1974" t="n"/>
      <c r="AG75" s="1974" t="n"/>
      <c r="AH75" s="1944" t="n"/>
      <c r="AI75" s="1944" t="n"/>
      <c r="AJ75" s="1944" t="n"/>
      <c r="AK75" s="1944" t="n"/>
      <c r="AL75" s="1944" t="n"/>
      <c r="AM75" s="1944" t="n"/>
      <c r="AN75" s="1944" t="n"/>
    </row>
    <row r="76" spans="1:41">
      <c r="B76" s="2050" t="n">
        <v>12276</v>
      </c>
      <c r="C76" s="2051" t="n"/>
      <c r="D76" s="2052" t="n"/>
      <c r="E76" s="2051" t="n"/>
      <c r="F76" s="2053" t="n"/>
      <c r="G76" s="2054">
        <f>SUMIFS(G$5:G$67,$W$5:$W$67,$B76,$F$5:$F$67,"Revenue")</f>
        <v/>
      </c>
      <c r="H76" s="2054">
        <f>SUMIFS(H$5:H$67,$W$5:$W$67,$B76,$F$5:$F$67,"Revenue")</f>
        <v/>
      </c>
      <c r="I76" s="2054">
        <f>SUMIFS(I$5:I$67,$W$5:$W$67,$B76,$F$5:$F$67,"Revenue")</f>
        <v/>
      </c>
      <c r="J76" s="2054">
        <f>SUMIFS(J$5:J$67,$W$5:$W$67,$B76,$F$5:$F$67,"Revenue")</f>
        <v/>
      </c>
      <c r="K76" s="2054">
        <f>SUMIFS(K$5:K$67,$W$5:$W$67,$B76,$F$5:$F$67,"Revenue")</f>
        <v/>
      </c>
      <c r="L76" s="2054">
        <f>SUMIFS(L$5:L$67,$W$5:$W$67,$B76,$F$5:$F$67,"Revenue")</f>
        <v/>
      </c>
      <c r="M76" s="2054">
        <f>SUMIFS(M$5:M$67,$W$5:$W$67,$B76,$F$5:$F$67,"Revenue")</f>
        <v/>
      </c>
      <c r="N76" s="2054">
        <f>SUMIFS(N$5:N$67,$W$5:$W$67,$B76,$F$5:$F$67,"Revenue")</f>
        <v/>
      </c>
      <c r="O76" s="2054">
        <f>SUMIFS(O$5:O$67,$W$5:$W$67,$B76,$F$5:$F$67,"Revenue")</f>
        <v/>
      </c>
      <c r="P76" s="2054">
        <f>SUMIFS(P$5:P$67,$W$5:$W$67,$B76,$F$5:$F$67,"Revenue")</f>
        <v/>
      </c>
      <c r="Q76" s="2054">
        <f>SUMIFS(Q$5:Q$67,$W$5:$W$67,$B76,$F$5:$F$67,"Revenue")</f>
        <v/>
      </c>
      <c r="R76" s="2054">
        <f>SUMIFS(R$5:R$67,$W$5:$W$67,$B76,$F$5:$F$67,"Revenue")</f>
        <v/>
      </c>
      <c r="S76" s="2054">
        <f>SUMIFS(S$5:S$67,$W$5:$W$67,$B76,$F$5:$F$67,"Revenue")</f>
        <v/>
      </c>
      <c r="T76" s="2054">
        <f>SUMIFS(T$5:T$67,$W$5:$W$67,$B76,$F$5:$F$67,"Revenue")</f>
        <v/>
      </c>
      <c r="U76" s="2054">
        <f>SUMIFS(U$5:U$67,$W$5:$W$67,$B76,$F$5:$F$67,"Revenue")</f>
        <v/>
      </c>
      <c r="V76" s="2055" t="n"/>
      <c r="W76" s="2056" t="n">
        <v>12276</v>
      </c>
      <c r="X76" s="2008" t="n"/>
      <c r="Y76" s="2008" t="n"/>
      <c r="Z76" s="2008" t="n"/>
      <c r="AA76" s="2027" t="n"/>
      <c r="AB76" s="1944" t="n"/>
      <c r="AC76" s="1944" t="n"/>
      <c r="AD76" s="1973" t="n"/>
      <c r="AE76" s="1973" t="n"/>
      <c r="AF76" s="1973" t="n"/>
      <c r="AG76" s="1974" t="n"/>
      <c r="AH76" s="1974" t="n"/>
    </row>
    <row r="77" spans="1:41">
      <c r="W77" s="2057" t="n"/>
      <c r="AD77" s="1973" t="n"/>
      <c r="AE77" s="1974" t="n"/>
      <c r="AF77" s="1974" t="n"/>
    </row>
    <row r="78" spans="1:41">
      <c r="V78" s="1941" t="n"/>
      <c r="W78" s="2057" t="n"/>
      <c r="X78" s="2008" t="n"/>
      <c r="Y78" s="2008" t="n"/>
      <c r="Z78" s="1944" t="n"/>
      <c r="AA78" s="2018" t="n"/>
      <c r="AB78" s="2008" t="n"/>
      <c r="AC78" s="2019" t="n"/>
      <c r="AD78" s="1973" t="n"/>
      <c r="AE78" s="1973" t="n"/>
      <c r="AF78" s="1973" t="n"/>
      <c r="AG78" s="1974" t="n"/>
      <c r="AH78" s="1974" t="n"/>
      <c r="AI78" s="2008" t="n"/>
      <c r="AJ78" s="2008" t="n"/>
      <c r="AK78" s="2008" t="n"/>
      <c r="AL78" s="2008" t="n"/>
      <c r="AM78" s="2008" t="n"/>
    </row>
    <row r="79" spans="1:41">
      <c r="B79" s="2058" t="s">
        <v>89</v>
      </c>
      <c r="C79" s="2059" t="n"/>
      <c r="D79" s="2060" t="n"/>
      <c r="E79" s="2059" t="n"/>
      <c r="F79" s="2061" t="n"/>
      <c r="G79" s="2060">
        <f>SUM(G80:G90)</f>
        <v/>
      </c>
      <c r="H79" s="2060">
        <f>SUM(H80:H90)</f>
        <v/>
      </c>
      <c r="I79" s="2060">
        <f>SUM(I80:I90)</f>
        <v/>
      </c>
      <c r="J79" s="2060">
        <f>SUM(J80:J90)</f>
        <v/>
      </c>
      <c r="K79" s="2060">
        <f>SUM(K80:K90)</f>
        <v/>
      </c>
      <c r="L79" s="2060">
        <f>SUM(L80:L90)</f>
        <v/>
      </c>
      <c r="M79" s="2062">
        <f>SUM(M80:M90)</f>
        <v/>
      </c>
      <c r="N79" s="2060">
        <f>SUM(N80:N90)</f>
        <v/>
      </c>
      <c r="O79" s="2060">
        <f>SUM(O80:O90)</f>
        <v/>
      </c>
      <c r="P79" s="2060">
        <f>SUM(P80:P90)</f>
        <v/>
      </c>
      <c r="Q79" s="2060">
        <f>SUM(Q80:Q90)</f>
        <v/>
      </c>
      <c r="R79" s="2060">
        <f>SUM(R80:R90)</f>
        <v/>
      </c>
      <c r="S79" s="2060">
        <f>SUM(S80:S90)</f>
        <v/>
      </c>
      <c r="T79" s="2062">
        <f>SUM(T80:T90)</f>
        <v/>
      </c>
      <c r="U79" s="2062">
        <f>SUM(U80:U90)</f>
        <v/>
      </c>
      <c r="V79" s="1938" t="n"/>
      <c r="X79" s="2017" t="n"/>
      <c r="Y79" s="2063" t="s">
        <v>131</v>
      </c>
      <c r="Z79" s="2064">
        <f>SUM(Z80:Z90)</f>
        <v/>
      </c>
      <c r="AA79" s="2064">
        <f>SUM(AA80:AA90)</f>
        <v/>
      </c>
      <c r="AB79" s="2064">
        <f>SUM(AB80:AB90)</f>
        <v/>
      </c>
      <c r="AC79" s="2064">
        <f>SUM(AC80:AC90)</f>
        <v/>
      </c>
      <c r="AD79" s="2064">
        <f>SUM(AD80:AD90)</f>
        <v/>
      </c>
      <c r="AE79" s="2064">
        <f>SUM(AE80:AE90)</f>
        <v/>
      </c>
      <c r="AF79" s="2065">
        <f>SUBTOTAL(9,Z79:AE79)</f>
        <v/>
      </c>
      <c r="AG79" s="2064">
        <f>SUM(AG80:AG90)</f>
        <v/>
      </c>
      <c r="AH79" s="2064">
        <f>SUM(AH80:AH90)</f>
        <v/>
      </c>
      <c r="AI79" s="2064">
        <f>SUM(AI80:AI90)</f>
        <v/>
      </c>
      <c r="AJ79" s="2064">
        <f>SUM(AJ80:AJ90)</f>
        <v/>
      </c>
      <c r="AK79" s="2064">
        <f>SUM(AK80:AK90)</f>
        <v/>
      </c>
      <c r="AL79" s="2064">
        <f>SUM(AL80:AL90)</f>
        <v/>
      </c>
      <c r="AM79" s="2065">
        <f>SUBTOTAL(9,AG79:AL79)</f>
        <v/>
      </c>
      <c r="AN79" s="2065">
        <f>SUM(AF79,AM79)</f>
        <v/>
      </c>
      <c r="AO79" s="1938" t="n"/>
    </row>
    <row customHeight="1" ht="13.5" r="80" s="1843" spans="1:41">
      <c r="B80" s="2066" t="s">
        <v>82</v>
      </c>
      <c r="C80" s="2067" t="n"/>
      <c r="D80" s="2068" t="n"/>
      <c r="E80" s="2068" t="n"/>
      <c r="F80" s="2069" t="n"/>
      <c r="G80" s="2068">
        <f>SUMIFS(G$5:G$71,$C$5:$C$71,$B80,$F$5:$F$71,"Revenue")/1000</f>
        <v/>
      </c>
      <c r="H80" s="2068">
        <f>SUMIFS(H$5:H$71,$C$5:$C$71,$B80,$F$5:$F$71,"Revenue")/1000</f>
        <v/>
      </c>
      <c r="I80" s="2068">
        <f>SUMIFS(I$5:I$71,$C$5:$C$71,$B80,$F$5:$F$71,"Revenue")/1000</f>
        <v/>
      </c>
      <c r="J80" s="2068">
        <f>SUMIFS(J$5:J$71,$C$5:$C$71,$B80,$F$5:$F$71,"Revenue")/1000</f>
        <v/>
      </c>
      <c r="K80" s="2068">
        <f>SUMIFS(K$5:K$71,$C$5:$C$71,$B80,$F$5:$F$71,"Revenue")/1000</f>
        <v/>
      </c>
      <c r="L80" s="2068">
        <f>SUMIFS(L$5:L$71,$C$5:$C$71,$B80,$F$5:$F$71,"Revenue")/1000</f>
        <v/>
      </c>
      <c r="M80" s="2070">
        <f>SUMIFS(M$5:M$71,$C$5:$C$71,$B80,$F$5:$F$71,"Revenue")/1000</f>
        <v/>
      </c>
      <c r="N80" s="2068">
        <f>SUMIFS(N$5:N$71,$C$5:$C$71,$B80,$F$5:$F$71,"Revenue")/1000</f>
        <v/>
      </c>
      <c r="O80" s="2068">
        <f>SUMIFS(O$5:O$71,$C$5:$C$71,$B80,$F$5:$F$71,"Revenue")/1000</f>
        <v/>
      </c>
      <c r="P80" s="2068">
        <f>SUMIFS(P$5:P$71,$C$5:$C$71,$B80,$F$5:$F$71,"Revenue")/1000</f>
        <v/>
      </c>
      <c r="Q80" s="2068">
        <f>SUMIFS(Q$5:Q$71,$C$5:$C$71,$B80,$F$5:$F$71,"Revenue")/1000</f>
        <v/>
      </c>
      <c r="R80" s="2068">
        <f>SUMIFS(R$5:R$71,$C$5:$C$71,$B80,$F$5:$F$71,"Revenue")/1000</f>
        <v/>
      </c>
      <c r="S80" s="2068">
        <f>SUMIFS(S$5:S$71,$C$5:$C$71,$B80,$F$5:$F$71,"Revenue")/1000</f>
        <v/>
      </c>
      <c r="T80" s="2071">
        <f>SUMIFS(T$5:T$71,$C$5:$C$71,$B80,$F$5:$F$71,"Revenue")/1000</f>
        <v/>
      </c>
      <c r="U80" s="2071">
        <f>SUMIFS(U$5:U$71,$C$5:$C$71,$B80,$F$5:$F$71,"Revenue")/1000</f>
        <v/>
      </c>
      <c r="V80" s="2072" t="n"/>
      <c r="X80" s="2034" t="n"/>
      <c r="Y80" s="2066">
        <f>B80</f>
        <v/>
      </c>
      <c r="Z80" s="2073">
        <f>SUMIFS(Z$4:Z$70,$C$4:$C$70,$Y80,$F$4:$F$70,"Revenue")</f>
        <v/>
      </c>
      <c r="AA80" s="2073">
        <f>SUMIFS(AA$4:AA$70,$C$4:$C$70,$Y80,$F$4:$F$70,"Revenue")</f>
        <v/>
      </c>
      <c r="AB80" s="2073">
        <f>SUMIFS(AB$4:AB$70,$C$4:$C$70,$Y80,$F$4:$F$70,"Revenue")</f>
        <v/>
      </c>
      <c r="AC80" s="2073">
        <f>SUMIFS(AC$4:AC$70,$C$4:$C$70,$Y80,$F$4:$F$70,"Revenue")</f>
        <v/>
      </c>
      <c r="AD80" s="2073">
        <f>SUMIFS(AD$4:AD$70,$C$4:$C$70,$Y80,$F$4:$F$70,"Revenue")</f>
        <v/>
      </c>
      <c r="AE80" s="2073">
        <f>SUMIFS(AE$4:AE$70,$C$4:$C$70,$Y80,$F$4:$F$70,"Revenue")</f>
        <v/>
      </c>
      <c r="AF80" s="2065">
        <f>SUBTOTAL(9,Z80:AE80)</f>
        <v/>
      </c>
      <c r="AG80" s="2073">
        <f>SUMIFS(AG$4:AG$90,$C$4:$C$90,$Y80,$F$4:$F$90,"Revenue")</f>
        <v/>
      </c>
      <c r="AH80" s="2073">
        <f>SUMIFS(AH$4:AH$90,$C$4:$C$90,$Y80,$F$4:$F$90,"Revenue")</f>
        <v/>
      </c>
      <c r="AI80" s="2073">
        <f>SUMIFS(AI$4:AI$90,$C$4:$C$90,$Y80,$F$4:$F$90,"Revenue")</f>
        <v/>
      </c>
      <c r="AJ80" s="2073">
        <f>SUMIFS(AJ$4:AJ$90,$C$4:$C$90,$Y80,$F$4:$F$90,"Revenue")</f>
        <v/>
      </c>
      <c r="AK80" s="2073">
        <f>SUMIFS(AK$4:AK$90,$C$4:$C$90,$Y80,$F$4:$F$90,"Revenue")</f>
        <v/>
      </c>
      <c r="AL80" s="2073">
        <f>SUMIFS(AL$4:AL$90,$C$4:$C$90,$Y80,$F$4:$F$90,"Revenue")</f>
        <v/>
      </c>
      <c r="AM80" s="2065">
        <f>SUBTOTAL(9,AG80:AL80)</f>
        <v/>
      </c>
      <c r="AN80" s="2065">
        <f>SUM(AF80,AM80)</f>
        <v/>
      </c>
    </row>
    <row customHeight="1" ht="13.5" r="81" s="1843" spans="1:41">
      <c r="B81" s="2066" t="s">
        <v>132</v>
      </c>
      <c r="C81" s="2067" t="n"/>
      <c r="D81" s="2068" t="n"/>
      <c r="E81" s="2068" t="n"/>
      <c r="F81" s="2069" t="n"/>
      <c r="G81" s="2068">
        <f>SUMIFS(G$5:G$71,$C$5:$C$71,$B81,$F$5:$F$71,"Revenue")/1000</f>
        <v/>
      </c>
      <c r="H81" s="2068">
        <f>SUMIFS(H$5:H$71,$C$5:$C$71,$B81,$F$5:$F$71,"Revenue")/1000</f>
        <v/>
      </c>
      <c r="I81" s="2068">
        <f>SUMIFS(I$5:I$71,$C$5:$C$71,$B81,$F$5:$F$71,"Revenue")/1000</f>
        <v/>
      </c>
      <c r="J81" s="2068">
        <f>SUMIFS(J$5:J$71,$C$5:$C$71,$B81,$F$5:$F$71,"Revenue")/1000</f>
        <v/>
      </c>
      <c r="K81" s="2068">
        <f>SUMIFS(K$5:K$71,$C$5:$C$71,$B81,$F$5:$F$71,"Revenue")/1000</f>
        <v/>
      </c>
      <c r="L81" s="2068">
        <f>SUMIFS(L$5:L$71,$C$5:$C$71,$B81,$F$5:$F$71,"Revenue")/1000</f>
        <v/>
      </c>
      <c r="M81" s="2070">
        <f>SUMIFS(M$5:M$71,$C$5:$C$71,$B81,$F$5:$F$71,"Revenue")/1000</f>
        <v/>
      </c>
      <c r="N81" s="2068">
        <f>SUMIFS(N$5:N$71,$C$5:$C$71,$B81,$F$5:$F$71,"Revenue")/1000</f>
        <v/>
      </c>
      <c r="O81" s="2068">
        <f>SUMIFS(O$5:O$71,$C$5:$C$71,$B81,$F$5:$F$71,"Revenue")/1000</f>
        <v/>
      </c>
      <c r="P81" s="2068">
        <f>SUMIFS(P$5:P$71,$C$5:$C$71,$B81,$F$5:$F$71,"Revenue")/1000</f>
        <v/>
      </c>
      <c r="Q81" s="2068">
        <f>SUMIFS(Q$5:Q$71,$C$5:$C$71,$B81,$F$5:$F$71,"Revenue")/1000</f>
        <v/>
      </c>
      <c r="R81" s="2068">
        <f>SUMIFS(R$5:R$71,$C$5:$C$71,$B81,$F$5:$F$71,"Revenue")/1000</f>
        <v/>
      </c>
      <c r="S81" s="2068">
        <f>SUMIFS(S$5:S$71,$C$5:$C$71,$B81,$F$5:$F$71,"Revenue")/1000</f>
        <v/>
      </c>
      <c r="T81" s="2071">
        <f>SUMIFS(T$5:T$71,$C$5:$C$71,$B81,$F$5:$F$71,"Revenue")/1000</f>
        <v/>
      </c>
      <c r="U81" s="2071">
        <f>SUMIFS(U$5:U$71,$C$5:$C$71,$B81,$F$5:$F$71,"Revenue")/1000</f>
        <v/>
      </c>
      <c r="V81" s="2072" t="n"/>
      <c r="X81" s="2041" t="n"/>
      <c r="Y81" s="2066">
        <f>B81</f>
        <v/>
      </c>
      <c r="Z81" s="2073">
        <f>SUMIFS(Z$4:Z$70,$C$4:$C$70,$Y81,$F$4:$F$70,"Revenue")</f>
        <v/>
      </c>
      <c r="AA81" s="2073">
        <f>SUMIFS(AA$4:AA$70,$C$4:$C$70,$Y81,$F$4:$F$70,"Revenue")</f>
        <v/>
      </c>
      <c r="AB81" s="2073">
        <f>SUMIFS(AB$4:AB$70,$C$4:$C$70,$Y81,$F$4:$F$70,"Revenue")</f>
        <v/>
      </c>
      <c r="AC81" s="2073">
        <f>SUMIFS(AC$4:AC$70,$C$4:$C$70,$Y81,$F$4:$F$70,"Revenue")</f>
        <v/>
      </c>
      <c r="AD81" s="2073">
        <f>SUMIFS(AD$4:AD$70,$C$4:$C$70,$Y81,$F$4:$F$70,"Revenue")</f>
        <v/>
      </c>
      <c r="AE81" s="2073">
        <f>SUMIFS(AE$4:AE$70,$C$4:$C$70,$Y81,$F$4:$F$70,"Revenue")</f>
        <v/>
      </c>
      <c r="AF81" s="2065">
        <f>SUBTOTAL(9,Z81:AE81)</f>
        <v/>
      </c>
      <c r="AG81" s="2073">
        <f>SUMIFS(AG$4:AG$90,$C$4:$C$90,$Y81,$F$4:$F$90,"Revenue")</f>
        <v/>
      </c>
      <c r="AH81" s="2073">
        <f>SUMIFS(AH$4:AH$90,$C$4:$C$90,$Y81,$F$4:$F$90,"Revenue")</f>
        <v/>
      </c>
      <c r="AI81" s="2073">
        <f>SUMIFS(AI$4:AI$90,$C$4:$C$90,$Y81,$F$4:$F$90,"Revenue")</f>
        <v/>
      </c>
      <c r="AJ81" s="2073">
        <f>SUMIFS(AJ$4:AJ$90,$C$4:$C$90,$Y81,$F$4:$F$90,"Revenue")</f>
        <v/>
      </c>
      <c r="AK81" s="2073">
        <f>SUMIFS(AK$4:AK$90,$C$4:$C$90,$Y81,$F$4:$F$90,"Revenue")</f>
        <v/>
      </c>
      <c r="AL81" s="2073">
        <f>SUMIFS(AL$4:AL$90,$C$4:$C$90,$Y81,$F$4:$F$90,"Revenue")</f>
        <v/>
      </c>
      <c r="AM81" s="2065">
        <f>SUBTOTAL(9,AG81:AL81)</f>
        <v/>
      </c>
      <c r="AN81" s="2065">
        <f>SUM(AF81,AM81)</f>
        <v/>
      </c>
    </row>
    <row customHeight="1" ht="13.5" r="82" s="1843" spans="1:41">
      <c r="B82" s="2066">
        <f>'[3]FY18 SDD'!B163</f>
        <v/>
      </c>
      <c r="C82" s="2067" t="n"/>
      <c r="D82" s="2068" t="n"/>
      <c r="E82" s="2068" t="n"/>
      <c r="F82" s="2069" t="n"/>
      <c r="G82" s="2068">
        <f>SUMIFS(G$5:G$71,$C$5:$C$71,$B82,$F$5:$F$71,"Revenue")/1000</f>
        <v/>
      </c>
      <c r="H82" s="2068">
        <f>SUMIFS(H$5:H$71,$C$5:$C$71,$B82,$F$5:$F$71,"Revenue")/1000</f>
        <v/>
      </c>
      <c r="I82" s="2068">
        <f>SUMIFS(I$5:I$71,$C$5:$C$71,$B82,$F$5:$F$71,"Revenue")/1000</f>
        <v/>
      </c>
      <c r="J82" s="2068">
        <f>SUMIFS(J$5:J$71,$C$5:$C$71,$B82,$F$5:$F$71,"Revenue")/1000</f>
        <v/>
      </c>
      <c r="K82" s="2068">
        <f>SUMIFS(K$5:K$71,$C$5:$C$71,$B82,$F$5:$F$71,"Revenue")/1000</f>
        <v/>
      </c>
      <c r="L82" s="2068">
        <f>SUMIFS(L$5:L$71,$C$5:$C$71,$B82,$F$5:$F$71,"Revenue")/1000</f>
        <v/>
      </c>
      <c r="M82" s="2070">
        <f>SUMIFS(M$5:M$71,$C$5:$C$71,$B82,$F$5:$F$71,"Revenue")/1000</f>
        <v/>
      </c>
      <c r="N82" s="2068">
        <f>SUMIFS(N$5:N$71,$C$5:$C$71,$B82,$F$5:$F$71,"Revenue")/1000</f>
        <v/>
      </c>
      <c r="O82" s="2068">
        <f>SUMIFS(O$5:O$71,$C$5:$C$71,$B82,$F$5:$F$71,"Revenue")/1000</f>
        <v/>
      </c>
      <c r="P82" s="2068">
        <f>SUMIFS(P$5:P$71,$C$5:$C$71,$B82,$F$5:$F$71,"Revenue")/1000</f>
        <v/>
      </c>
      <c r="Q82" s="2068">
        <f>SUMIFS(Q$5:Q$71,$C$5:$C$71,$B82,$F$5:$F$71,"Revenue")/1000</f>
        <v/>
      </c>
      <c r="R82" s="2068">
        <f>SUMIFS(R$5:R$71,$C$5:$C$71,$B82,$F$5:$F$71,"Revenue")/1000</f>
        <v/>
      </c>
      <c r="S82" s="2068">
        <f>SUMIFS(S$5:S$71,$C$5:$C$71,$B82,$F$5:$F$71,"Revenue")/1000</f>
        <v/>
      </c>
      <c r="T82" s="2071">
        <f>SUMIFS(T$5:T$71,$C$5:$C$71,$B82,$F$5:$F$71,"Revenue")/1000</f>
        <v/>
      </c>
      <c r="U82" s="2071">
        <f>SUMIFS(U$5:U$71,$C$5:$C$71,$B82,$F$5:$F$71,"Revenue")/1000</f>
        <v/>
      </c>
      <c r="V82" s="2072" t="n"/>
      <c r="X82" s="2048" t="n"/>
      <c r="Y82" s="2066">
        <f>B82</f>
        <v/>
      </c>
      <c r="Z82" s="2073">
        <f>SUMIFS(Z$4:Z$70,$C$4:$C$70,$Y82,$F$4:$F$70,"Revenue")</f>
        <v/>
      </c>
      <c r="AA82" s="2073">
        <f>SUMIFS(AA$4:AA$70,$C$4:$C$70,$Y82,$F$4:$F$70,"Revenue")</f>
        <v/>
      </c>
      <c r="AB82" s="2073">
        <f>SUMIFS(AB$4:AB$70,$C$4:$C$70,$Y82,$F$4:$F$70,"Revenue")</f>
        <v/>
      </c>
      <c r="AC82" s="2073">
        <f>SUMIFS(AC$4:AC$70,$C$4:$C$70,$Y82,$F$4:$F$70,"Revenue")</f>
        <v/>
      </c>
      <c r="AD82" s="2073">
        <f>SUMIFS(AD$4:AD$70,$C$4:$C$70,$Y82,$F$4:$F$70,"Revenue")</f>
        <v/>
      </c>
      <c r="AE82" s="2073">
        <f>SUMIFS(AE$4:AE$70,$C$4:$C$70,$Y82,$F$4:$F$70,"Revenue")</f>
        <v/>
      </c>
      <c r="AF82" s="2065">
        <f>SUBTOTAL(9,Z82:AE82)</f>
        <v/>
      </c>
      <c r="AG82" s="2073">
        <f>SUMIFS(AG$4:AG$90,$C$4:$C$90,$Y82,$F$4:$F$90,"Revenue")</f>
        <v/>
      </c>
      <c r="AH82" s="2073">
        <f>SUMIFS(AH$4:AH$90,$C$4:$C$90,$Y82,$F$4:$F$90,"Revenue")</f>
        <v/>
      </c>
      <c r="AI82" s="2073">
        <f>SUMIFS(AI$4:AI$90,$C$4:$C$90,$Y82,$F$4:$F$90,"Revenue")</f>
        <v/>
      </c>
      <c r="AJ82" s="2073">
        <f>SUMIFS(AJ$4:AJ$90,$C$4:$C$90,$Y82,$F$4:$F$90,"Revenue")</f>
        <v/>
      </c>
      <c r="AK82" s="2073">
        <f>SUMIFS(AK$4:AK$90,$C$4:$C$90,$Y82,$F$4:$F$90,"Revenue")</f>
        <v/>
      </c>
      <c r="AL82" s="2073">
        <f>SUMIFS(AL$4:AL$90,$C$4:$C$90,$Y82,$F$4:$F$90,"Revenue")</f>
        <v/>
      </c>
      <c r="AM82" s="2065">
        <f>SUBTOTAL(9,AG82:AL82)</f>
        <v/>
      </c>
      <c r="AN82" s="2065">
        <f>SUM(AF82,AM82)</f>
        <v/>
      </c>
    </row>
    <row customHeight="1" ht="13.5" r="83" s="1843" spans="1:41">
      <c r="B83" s="2066" t="s">
        <v>112</v>
      </c>
      <c r="C83" s="2067" t="n"/>
      <c r="D83" s="2068" t="n"/>
      <c r="E83" s="2068" t="n"/>
      <c r="F83" s="2069" t="n"/>
      <c r="G83" s="2068">
        <f>SUMIFS(G$5:G$71,$C$5:$C$71,$B83,$F$5:$F$71,"Revenue")/1000</f>
        <v/>
      </c>
      <c r="H83" s="2068">
        <f>SUMIFS(H$5:H$71,$C$5:$C$71,$B83,$F$5:$F$71,"Revenue")/1000</f>
        <v/>
      </c>
      <c r="I83" s="2068">
        <f>SUMIFS(I$5:I$71,$C$5:$C$71,$B83,$F$5:$F$71,"Revenue")/1000</f>
        <v/>
      </c>
      <c r="J83" s="2068">
        <f>SUMIFS(J$5:J$71,$C$5:$C$71,$B83,$F$5:$F$71,"Revenue")/1000</f>
        <v/>
      </c>
      <c r="K83" s="2068">
        <f>SUMIFS(K$5:K$71,$C$5:$C$71,$B83,$F$5:$F$71,"Revenue")/1000</f>
        <v/>
      </c>
      <c r="L83" s="2068">
        <f>SUMIFS(L$5:L$71,$C$5:$C$71,$B83,$F$5:$F$71,"Revenue")/1000</f>
        <v/>
      </c>
      <c r="M83" s="2070">
        <f>SUMIFS(M$5:M$71,$C$5:$C$71,$B83,$F$5:$F$71,"Revenue")/1000</f>
        <v/>
      </c>
      <c r="N83" s="2068">
        <f>SUMIFS(N$5:N$71,$C$5:$C$71,$B83,$F$5:$F$71,"Revenue")/1000</f>
        <v/>
      </c>
      <c r="O83" s="2068">
        <f>SUMIFS(O$5:O$71,$C$5:$C$71,$B83,$F$5:$F$71,"Revenue")/1000</f>
        <v/>
      </c>
      <c r="P83" s="2068">
        <f>SUMIFS(P$5:P$71,$C$5:$C$71,$B83,$F$5:$F$71,"Revenue")/1000</f>
        <v/>
      </c>
      <c r="Q83" s="2068">
        <f>SUMIFS(Q$5:Q$71,$C$5:$C$71,$B83,$F$5:$F$71,"Revenue")/1000</f>
        <v/>
      </c>
      <c r="R83" s="2068">
        <f>SUMIFS(R$5:R$71,$C$5:$C$71,$B83,$F$5:$F$71,"Revenue")/1000</f>
        <v/>
      </c>
      <c r="S83" s="2068">
        <f>SUMIFS(S$5:S$71,$C$5:$C$71,$B83,$F$5:$F$71,"Revenue")/1000</f>
        <v/>
      </c>
      <c r="T83" s="2071">
        <f>SUMIFS(T$5:T$71,$C$5:$C$71,$B83,$F$5:$F$71,"Revenue")/1000</f>
        <v/>
      </c>
      <c r="U83" s="2071">
        <f>SUMIFS(U$5:U$71,$C$5:$C$71,$B83,$F$5:$F$71,"Revenue")/1000</f>
        <v/>
      </c>
      <c r="V83" s="2072" t="n"/>
      <c r="X83" s="1944" t="n"/>
      <c r="Y83" s="2066">
        <f>B83</f>
        <v/>
      </c>
      <c r="Z83" s="2073">
        <f>SUMIFS(Z$4:Z$70,$C$4:$C$70,$Y83,$F$4:$F$70,"Revenue")</f>
        <v/>
      </c>
      <c r="AA83" s="2073">
        <f>SUMIFS(AA$4:AA$70,$C$4:$C$70,$Y83,$F$4:$F$70,"Revenue")</f>
        <v/>
      </c>
      <c r="AB83" s="2073">
        <f>SUMIFS(AB$4:AB$70,$C$4:$C$70,$Y83,$F$4:$F$70,"Revenue")</f>
        <v/>
      </c>
      <c r="AC83" s="2073">
        <f>SUMIFS(AC$4:AC$70,$C$4:$C$70,$Y83,$F$4:$F$70,"Revenue")</f>
        <v/>
      </c>
      <c r="AD83" s="2073">
        <f>SUMIFS(AD$4:AD$70,$C$4:$C$70,$Y83,$F$4:$F$70,"Revenue")</f>
        <v/>
      </c>
      <c r="AE83" s="2073">
        <f>SUMIFS(AE$4:AE$70,$C$4:$C$70,$Y83,$F$4:$F$70,"Revenue")</f>
        <v/>
      </c>
      <c r="AF83" s="2065">
        <f>SUBTOTAL(9,Z83:AE83)</f>
        <v/>
      </c>
      <c r="AG83" s="2073">
        <f>SUMIFS(AG$4:AG$90,$C$4:$C$90,$Y83,$F$4:$F$90,"Revenue")</f>
        <v/>
      </c>
      <c r="AH83" s="2073">
        <f>SUMIFS(AH$4:AH$90,$C$4:$C$90,$Y83,$F$4:$F$90,"Revenue")</f>
        <v/>
      </c>
      <c r="AI83" s="2073">
        <f>SUMIFS(AI$4:AI$90,$C$4:$C$90,$Y83,$F$4:$F$90,"Revenue")</f>
        <v/>
      </c>
      <c r="AJ83" s="2073">
        <f>SUMIFS(AJ$4:AJ$90,$C$4:$C$90,$Y83,$F$4:$F$90,"Revenue")</f>
        <v/>
      </c>
      <c r="AK83" s="2073">
        <f>SUMIFS(AK$4:AK$90,$C$4:$C$90,$Y83,$F$4:$F$90,"Revenue")</f>
        <v/>
      </c>
      <c r="AL83" s="2073">
        <f>SUMIFS(AL$4:AL$90,$C$4:$C$90,$Y83,$F$4:$F$90,"Revenue")</f>
        <v/>
      </c>
      <c r="AM83" s="2065">
        <f>SUBTOTAL(9,AG83:AL83)</f>
        <v/>
      </c>
      <c r="AN83" s="2065">
        <f>SUM(AF83,AM83)</f>
        <v/>
      </c>
    </row>
    <row customHeight="1" ht="13.5" r="84" s="1843" spans="1:41">
      <c r="B84" s="2066">
        <f>'[3]FY18 SDD'!B165</f>
        <v/>
      </c>
      <c r="C84" s="2067" t="n"/>
      <c r="D84" s="2068" t="n"/>
      <c r="E84" s="2068" t="n"/>
      <c r="F84" s="2069" t="n"/>
      <c r="G84" s="2068">
        <f>SUMIFS(G$5:G$71,$C$5:$C$71,$B84,$F$5:$F$71,"Revenue")/1000</f>
        <v/>
      </c>
      <c r="H84" s="2068">
        <f>SUMIFS(H$5:H$71,$C$5:$C$71,$B84,$F$5:$F$71,"Revenue")/1000</f>
        <v/>
      </c>
      <c r="I84" s="2068">
        <f>SUMIFS(I$5:I$71,$C$5:$C$71,$B84,$F$5:$F$71,"Revenue")/1000</f>
        <v/>
      </c>
      <c r="J84" s="2068">
        <f>SUMIFS(J$5:J$71,$C$5:$C$71,$B84,$F$5:$F$71,"Revenue")/1000</f>
        <v/>
      </c>
      <c r="K84" s="2068">
        <f>SUMIFS(K$5:K$71,$C$5:$C$71,$B84,$F$5:$F$71,"Revenue")/1000</f>
        <v/>
      </c>
      <c r="L84" s="2068">
        <f>SUMIFS(L$5:L$71,$C$5:$C$71,$B84,$F$5:$F$71,"Revenue")/1000</f>
        <v/>
      </c>
      <c r="M84" s="2070">
        <f>SUMIFS(M$5:M$71,$C$5:$C$71,$B84,$F$5:$F$71,"Revenue")/1000</f>
        <v/>
      </c>
      <c r="N84" s="2068">
        <f>SUMIFS(N$5:N$71,$C$5:$C$71,$B84,$F$5:$F$71,"Revenue")/1000</f>
        <v/>
      </c>
      <c r="O84" s="2068">
        <f>SUMIFS(O$5:O$71,$C$5:$C$71,$B84,$F$5:$F$71,"Revenue")/1000</f>
        <v/>
      </c>
      <c r="P84" s="2068">
        <f>SUMIFS(P$5:P$71,$C$5:$C$71,$B84,$F$5:$F$71,"Revenue")/1000</f>
        <v/>
      </c>
      <c r="Q84" s="2068">
        <f>SUMIFS(Q$5:Q$71,$C$5:$C$71,$B84,$F$5:$F$71,"Revenue")/1000</f>
        <v/>
      </c>
      <c r="R84" s="2068">
        <f>SUMIFS(R$5:R$71,$C$5:$C$71,$B84,$F$5:$F$71,"Revenue")/1000</f>
        <v/>
      </c>
      <c r="S84" s="2068">
        <f>SUMIFS(S$5:S$71,$C$5:$C$71,$B84,$F$5:$F$71,"Revenue")/1000</f>
        <v/>
      </c>
      <c r="T84" s="2071">
        <f>SUMIFS(T$5:T$71,$C$5:$C$71,$B84,$F$5:$F$71,"Revenue")/1000</f>
        <v/>
      </c>
      <c r="U84" s="2071">
        <f>SUMIFS(U$5:U$71,$C$5:$C$71,$B84,$F$5:$F$71,"Revenue")/1000</f>
        <v/>
      </c>
      <c r="V84" s="2072" t="n"/>
      <c r="X84" s="2008" t="n"/>
      <c r="Y84" s="2066">
        <f>B84</f>
        <v/>
      </c>
      <c r="Z84" s="2073">
        <f>SUMIFS(Z$4:Z$70,$C$4:$C$70,$Y84,$F$4:$F$70,"Revenue")</f>
        <v/>
      </c>
      <c r="AA84" s="2073">
        <f>SUMIFS(AA$4:AA$70,$C$4:$C$70,$Y84,$F$4:$F$70,"Revenue")</f>
        <v/>
      </c>
      <c r="AB84" s="2073">
        <f>SUMIFS(AB$4:AB$70,$C$4:$C$70,$Y84,$F$4:$F$70,"Revenue")</f>
        <v/>
      </c>
      <c r="AC84" s="2073">
        <f>SUMIFS(AC$4:AC$70,$C$4:$C$70,$Y84,$F$4:$F$70,"Revenue")</f>
        <v/>
      </c>
      <c r="AD84" s="2073">
        <f>SUMIFS(AD$4:AD$70,$C$4:$C$70,$Y84,$F$4:$F$70,"Revenue")</f>
        <v/>
      </c>
      <c r="AE84" s="2073">
        <f>SUMIFS(AE$4:AE$70,$C$4:$C$70,$Y84,$F$4:$F$70,"Revenue")</f>
        <v/>
      </c>
      <c r="AF84" s="2065">
        <f>SUBTOTAL(9,Z84:AE84)</f>
        <v/>
      </c>
      <c r="AG84" s="2073">
        <f>SUMIFS(AG$4:AG$90,$C$4:$C$90,$Y84,$F$4:$F$90,"Revenue")</f>
        <v/>
      </c>
      <c r="AH84" s="2073">
        <f>SUMIFS(AH$4:AH$90,$C$4:$C$90,$Y84,$F$4:$F$90,"Revenue")</f>
        <v/>
      </c>
      <c r="AI84" s="2073">
        <f>SUMIFS(AI$4:AI$90,$C$4:$C$90,$Y84,$F$4:$F$90,"Revenue")</f>
        <v/>
      </c>
      <c r="AJ84" s="2073">
        <f>SUMIFS(AJ$4:AJ$90,$C$4:$C$90,$Y84,$F$4:$F$90,"Revenue")</f>
        <v/>
      </c>
      <c r="AK84" s="2073">
        <f>SUMIFS(AK$4:AK$90,$C$4:$C$90,$Y84,$F$4:$F$90,"Revenue")</f>
        <v/>
      </c>
      <c r="AL84" s="2073">
        <f>SUMIFS(AL$4:AL$90,$C$4:$C$90,$Y84,$F$4:$F$90,"Revenue")</f>
        <v/>
      </c>
      <c r="AM84" s="2065">
        <f>SUBTOTAL(9,AG84:AL84)</f>
        <v/>
      </c>
      <c r="AN84" s="2065">
        <f>SUM(AF84,AM84)</f>
        <v/>
      </c>
    </row>
    <row customHeight="1" ht="13.5" r="85" s="1843" spans="1:41">
      <c r="B85" s="2066" t="s">
        <v>105</v>
      </c>
      <c r="C85" s="2067" t="n"/>
      <c r="D85" s="2068" t="n"/>
      <c r="E85" s="2068" t="n"/>
      <c r="F85" s="2069" t="n"/>
      <c r="G85" s="2068">
        <f>SUMIFS(G$5:G$71,$C$5:$C$71,$B85,$F$5:$F$71,"Revenue")/1000</f>
        <v/>
      </c>
      <c r="H85" s="2068">
        <f>SUMIFS(H$5:H$71,$C$5:$C$71,$B85,$F$5:$F$71,"Revenue")/1000</f>
        <v/>
      </c>
      <c r="I85" s="2068">
        <f>SUMIFS(I$5:I$71,$C$5:$C$71,$B85,$F$5:$F$71,"Revenue")/1000</f>
        <v/>
      </c>
      <c r="J85" s="2068">
        <f>SUMIFS(J$5:J$71,$C$5:$C$71,$B85,$F$5:$F$71,"Revenue")/1000</f>
        <v/>
      </c>
      <c r="K85" s="2068">
        <f>SUMIFS(K$5:K$71,$C$5:$C$71,$B85,$F$5:$F$71,"Revenue")/1000</f>
        <v/>
      </c>
      <c r="L85" s="2068">
        <f>SUMIFS(L$5:L$71,$C$5:$C$71,$B85,$F$5:$F$71,"Revenue")/1000</f>
        <v/>
      </c>
      <c r="M85" s="2070">
        <f>SUMIFS(M$5:M$71,$C$5:$C$71,$B85,$F$5:$F$71,"Revenue")/1000</f>
        <v/>
      </c>
      <c r="N85" s="2068">
        <f>SUMIFS(N$5:N$71,$C$5:$C$71,$B85,$F$5:$F$71,"Revenue")/1000</f>
        <v/>
      </c>
      <c r="O85" s="2068">
        <f>SUMIFS(O$5:O$71,$C$5:$C$71,$B85,$F$5:$F$71,"Revenue")/1000</f>
        <v/>
      </c>
      <c r="P85" s="2068">
        <f>SUMIFS(P$5:P$71,$C$5:$C$71,$B85,$F$5:$F$71,"Revenue")/1000</f>
        <v/>
      </c>
      <c r="Q85" s="2068">
        <f>SUMIFS(Q$5:Q$71,$C$5:$C$71,$B85,$F$5:$F$71,"Revenue")/1000</f>
        <v/>
      </c>
      <c r="R85" s="2068">
        <f>SUMIFS(R$5:R$71,$C$5:$C$71,$B85,$F$5:$F$71,"Revenue")/1000</f>
        <v/>
      </c>
      <c r="S85" s="2068">
        <f>SUMIFS(S$5:S$71,$C$5:$C$71,$B85,$F$5:$F$71,"Revenue")/1000</f>
        <v/>
      </c>
      <c r="T85" s="2071">
        <f>SUMIFS(T$5:T$71,$C$5:$C$71,$B85,$F$5:$F$71,"Revenue")/1000</f>
        <v/>
      </c>
      <c r="U85" s="2071">
        <f>SUMIFS(U$5:U$71,$C$5:$C$71,$B85,$F$5:$F$71,"Revenue")/1000</f>
        <v/>
      </c>
      <c r="V85" s="2072" t="n"/>
      <c r="Y85" s="2066">
        <f>B85</f>
        <v/>
      </c>
      <c r="Z85" s="2073">
        <f>SUMIFS(Z$4:Z$70,$C$4:$C$70,$Y85,$F$4:$F$70,"Revenue")</f>
        <v/>
      </c>
      <c r="AA85" s="2073">
        <f>SUMIFS(AA$4:AA$70,$C$4:$C$70,$Y85,$F$4:$F$70,"Revenue")</f>
        <v/>
      </c>
      <c r="AB85" s="2073">
        <f>SUMIFS(AB$4:AB$70,$C$4:$C$70,$Y85,$F$4:$F$70,"Revenue")</f>
        <v/>
      </c>
      <c r="AC85" s="2073">
        <f>SUMIFS(AC$4:AC$70,$C$4:$C$70,$Y85,$F$4:$F$70,"Revenue")</f>
        <v/>
      </c>
      <c r="AD85" s="2073">
        <f>SUMIFS(AD$4:AD$70,$C$4:$C$70,$Y85,$F$4:$F$70,"Revenue")</f>
        <v/>
      </c>
      <c r="AE85" s="2073">
        <f>SUMIFS(AE$4:AE$70,$C$4:$C$70,$Y85,$F$4:$F$70,"Revenue")</f>
        <v/>
      </c>
      <c r="AF85" s="2065">
        <f>SUBTOTAL(9,Z85:AE85)</f>
        <v/>
      </c>
      <c r="AG85" s="2073">
        <f>SUMIFS(AG$4:AG$90,$C$4:$C$90,$Y85,$F$4:$F$90,"Revenue")</f>
        <v/>
      </c>
      <c r="AH85" s="2073">
        <f>SUMIFS(AH$4:AH$90,$C$4:$C$90,$Y85,$F$4:$F$90,"Revenue")</f>
        <v/>
      </c>
      <c r="AI85" s="2073">
        <f>SUMIFS(AI$4:AI$90,$C$4:$C$90,$Y85,$F$4:$F$90,"Revenue")</f>
        <v/>
      </c>
      <c r="AJ85" s="2073">
        <f>SUMIFS(AJ$4:AJ$90,$C$4:$C$90,$Y85,$F$4:$F$90,"Revenue")</f>
        <v/>
      </c>
      <c r="AK85" s="2073">
        <f>SUMIFS(AK$4:AK$90,$C$4:$C$90,$Y85,$F$4:$F$90,"Revenue")</f>
        <v/>
      </c>
      <c r="AL85" s="2073">
        <f>SUMIFS(AL$4:AL$90,$C$4:$C$90,$Y85,$F$4:$F$90,"Revenue")</f>
        <v/>
      </c>
      <c r="AM85" s="2065">
        <f>SUBTOTAL(9,AG85:AL85)</f>
        <v/>
      </c>
      <c r="AN85" s="2065">
        <f>SUM(AF85,AM85)</f>
        <v/>
      </c>
    </row>
    <row customHeight="1" ht="13.5" r="86" s="1843" spans="1:41">
      <c r="B86" s="2066" t="s">
        <v>102</v>
      </c>
      <c r="C86" s="2067" t="n"/>
      <c r="D86" s="2068" t="n"/>
      <c r="E86" s="2068" t="n"/>
      <c r="F86" s="2069" t="n"/>
      <c r="G86" s="2068">
        <f>SUMIFS(G$5:G$71,$C$5:$C$71,$B86,$F$5:$F$71,"Revenue")/1000</f>
        <v/>
      </c>
      <c r="H86" s="2068">
        <f>SUMIFS(H$5:H$71,$C$5:$C$71,$B86,$F$5:$F$71,"Revenue")/1000</f>
        <v/>
      </c>
      <c r="I86" s="2068">
        <f>SUMIFS(I$5:I$71,$C$5:$C$71,$B86,$F$5:$F$71,"Revenue")/1000</f>
        <v/>
      </c>
      <c r="J86" s="2068">
        <f>SUMIFS(J$5:J$71,$C$5:$C$71,$B86,$F$5:$F$71,"Revenue")/1000</f>
        <v/>
      </c>
      <c r="K86" s="2068">
        <f>SUMIFS(K$5:K$71,$C$5:$C$71,$B86,$F$5:$F$71,"Revenue")/1000</f>
        <v/>
      </c>
      <c r="L86" s="2068">
        <f>SUMIFS(L$5:L$71,$C$5:$C$71,$B86,$F$5:$F$71,"Revenue")/1000</f>
        <v/>
      </c>
      <c r="M86" s="2070">
        <f>SUMIFS(M$5:M$71,$C$5:$C$71,$B86,$F$5:$F$71,"Revenue")/1000</f>
        <v/>
      </c>
      <c r="N86" s="2068">
        <f>SUMIFS(N$5:N$71,$C$5:$C$71,$B86,$F$5:$F$71,"Revenue")/1000</f>
        <v/>
      </c>
      <c r="O86" s="2068">
        <f>SUMIFS(O$5:O$71,$C$5:$C$71,$B86,$F$5:$F$71,"Revenue")/1000</f>
        <v/>
      </c>
      <c r="P86" s="2068">
        <f>SUMIFS(P$5:P$71,$C$5:$C$71,$B86,$F$5:$F$71,"Revenue")/1000</f>
        <v/>
      </c>
      <c r="Q86" s="2068">
        <f>SUMIFS(Q$5:Q$71,$C$5:$C$71,$B86,$F$5:$F$71,"Revenue")/1000</f>
        <v/>
      </c>
      <c r="R86" s="2068">
        <f>SUMIFS(R$5:R$71,$C$5:$C$71,$B86,$F$5:$F$71,"Revenue")/1000</f>
        <v/>
      </c>
      <c r="S86" s="2068">
        <f>SUMIFS(S$5:S$71,$C$5:$C$71,$B86,$F$5:$F$71,"Revenue")/1000</f>
        <v/>
      </c>
      <c r="T86" s="2071">
        <f>SUMIFS(T$5:T$71,$C$5:$C$71,$B86,$F$5:$F$71,"Revenue")/1000</f>
        <v/>
      </c>
      <c r="U86" s="2071">
        <f>SUMIFS(U$5:U$71,$C$5:$C$71,$B86,$F$5:$F$71,"Revenue")/1000</f>
        <v/>
      </c>
      <c r="V86" s="2072" t="n"/>
      <c r="X86" s="2008" t="n"/>
      <c r="Y86" s="2066">
        <f>B86</f>
        <v/>
      </c>
      <c r="Z86" s="2073">
        <f>SUMIFS(Z$4:Z$70,$C$4:$C$70,$Y86,$F$4:$F$70,"Revenue")</f>
        <v/>
      </c>
      <c r="AA86" s="2073">
        <f>SUMIFS(AA$4:AA$70,$C$4:$C$70,$Y86,$F$4:$F$70,"Revenue")</f>
        <v/>
      </c>
      <c r="AB86" s="2073">
        <f>SUMIFS(AB$4:AB$70,$C$4:$C$70,$Y86,$F$4:$F$70,"Revenue")</f>
        <v/>
      </c>
      <c r="AC86" s="2073">
        <f>SUMIFS(AC$4:AC$70,$C$4:$C$70,$Y86,$F$4:$F$70,"Revenue")</f>
        <v/>
      </c>
      <c r="AD86" s="2073">
        <f>SUMIFS(AD$4:AD$70,$C$4:$C$70,$Y86,$F$4:$F$70,"Revenue")</f>
        <v/>
      </c>
      <c r="AE86" s="2073">
        <f>SUMIFS(AE$4:AE$70,$C$4:$C$70,$Y86,$F$4:$F$70,"Revenue")</f>
        <v/>
      </c>
      <c r="AF86" s="2065">
        <f>SUBTOTAL(9,Z86:AE86)</f>
        <v/>
      </c>
      <c r="AG86" s="2073">
        <f>SUMIFS(AG$4:AG$90,$C$4:$C$90,$Y86,$F$4:$F$90,"Revenue")</f>
        <v/>
      </c>
      <c r="AH86" s="2073">
        <f>SUMIFS(AH$4:AH$90,$C$4:$C$90,$Y86,$F$4:$F$90,"Revenue")</f>
        <v/>
      </c>
      <c r="AI86" s="2073">
        <f>SUMIFS(AI$4:AI$90,$C$4:$C$90,$Y86,$F$4:$F$90,"Revenue")</f>
        <v/>
      </c>
      <c r="AJ86" s="2073">
        <f>SUMIFS(AJ$4:AJ$90,$C$4:$C$90,$Y86,$F$4:$F$90,"Revenue")</f>
        <v/>
      </c>
      <c r="AK86" s="2073">
        <f>SUMIFS(AK$4:AK$90,$C$4:$C$90,$Y86,$F$4:$F$90,"Revenue")</f>
        <v/>
      </c>
      <c r="AL86" s="2073">
        <f>SUMIFS(AL$4:AL$90,$C$4:$C$90,$Y86,$F$4:$F$90,"Revenue")</f>
        <v/>
      </c>
      <c r="AM86" s="2065">
        <f>SUBTOTAL(9,AG86:AL86)</f>
        <v/>
      </c>
      <c r="AN86" s="2065">
        <f>SUM(AF86,AM86)</f>
        <v/>
      </c>
    </row>
    <row customHeight="1" ht="13.5" r="87" s="1843" spans="1:41">
      <c r="B87" s="2066" t="s">
        <v>99</v>
      </c>
      <c r="C87" s="2067" t="n"/>
      <c r="D87" s="2068" t="n"/>
      <c r="E87" s="2068" t="n"/>
      <c r="F87" s="2069" t="n"/>
      <c r="G87" s="2068">
        <f>SUMIFS(G$5:G$71,$C$5:$C$71,$B87,$F$5:$F$71,"Revenue")/1000</f>
        <v/>
      </c>
      <c r="H87" s="2068">
        <f>SUMIFS(H$5:H$71,$C$5:$C$71,$B87,$F$5:$F$71,"Revenue")/1000</f>
        <v/>
      </c>
      <c r="I87" s="2068">
        <f>SUMIFS(I$5:I$71,$C$5:$C$71,$B87,$F$5:$F$71,"Revenue")/1000</f>
        <v/>
      </c>
      <c r="J87" s="2068">
        <f>SUMIFS(J$5:J$71,$C$5:$C$71,$B87,$F$5:$F$71,"Revenue")/1000</f>
        <v/>
      </c>
      <c r="K87" s="2068">
        <f>SUMIFS(K$5:K$71,$C$5:$C$71,$B87,$F$5:$F$71,"Revenue")/1000</f>
        <v/>
      </c>
      <c r="L87" s="2068">
        <f>SUMIFS(L$5:L$71,$C$5:$C$71,$B87,$F$5:$F$71,"Revenue")/1000</f>
        <v/>
      </c>
      <c r="M87" s="2070">
        <f>SUMIFS(M$5:M$71,$C$5:$C$71,$B87,$F$5:$F$71,"Revenue")/1000</f>
        <v/>
      </c>
      <c r="N87" s="2068">
        <f>SUMIFS(N$5:N$71,$C$5:$C$71,$B87,$F$5:$F$71,"Revenue")/1000</f>
        <v/>
      </c>
      <c r="O87" s="2068">
        <f>SUMIFS(O$5:O$71,$C$5:$C$71,$B87,$F$5:$F$71,"Revenue")/1000</f>
        <v/>
      </c>
      <c r="P87" s="2068">
        <f>SUMIFS(P$5:P$71,$C$5:$C$71,$B87,$F$5:$F$71,"Revenue")/1000</f>
        <v/>
      </c>
      <c r="Q87" s="2068">
        <f>SUMIFS(Q$5:Q$71,$C$5:$C$71,$B87,$F$5:$F$71,"Revenue")/1000</f>
        <v/>
      </c>
      <c r="R87" s="2068">
        <f>SUMIFS(R$5:R$71,$C$5:$C$71,$B87,$F$5:$F$71,"Revenue")/1000</f>
        <v/>
      </c>
      <c r="S87" s="2068">
        <f>SUMIFS(S$5:S$71,$C$5:$C$71,$B87,$F$5:$F$71,"Revenue")/1000</f>
        <v/>
      </c>
      <c r="T87" s="2071">
        <f>SUMIFS(T$5:T$71,$C$5:$C$71,$B87,$F$5:$F$71,"Revenue")/1000</f>
        <v/>
      </c>
      <c r="U87" s="2071">
        <f>SUMIFS(U$5:U$71,$C$5:$C$71,$B87,$F$5:$F$71,"Revenue")/1000</f>
        <v/>
      </c>
      <c r="V87" s="2072" t="n"/>
      <c r="X87" s="2017" t="n"/>
      <c r="Y87" s="2066">
        <f>B87</f>
        <v/>
      </c>
      <c r="Z87" s="2073">
        <f>SUMIFS(Z$4:Z$70,$C$4:$C$70,$Y87,$F$4:$F$70,"Revenue")</f>
        <v/>
      </c>
      <c r="AA87" s="2073">
        <f>SUMIFS(AA$4:AA$70,$C$4:$C$70,$Y87,$F$4:$F$70,"Revenue")</f>
        <v/>
      </c>
      <c r="AB87" s="2073">
        <f>SUMIFS(AB$4:AB$70,$C$4:$C$70,$Y87,$F$4:$F$70,"Revenue")</f>
        <v/>
      </c>
      <c r="AC87" s="2073">
        <f>SUMIFS(AC$4:AC$70,$C$4:$C$70,$Y87,$F$4:$F$70,"Revenue")</f>
        <v/>
      </c>
      <c r="AD87" s="2073">
        <f>SUMIFS(AD$4:AD$70,$C$4:$C$70,$Y87,$F$4:$F$70,"Revenue")</f>
        <v/>
      </c>
      <c r="AE87" s="2073">
        <f>SUMIFS(AE$4:AE$70,$C$4:$C$70,$Y87,$F$4:$F$70,"Revenue")</f>
        <v/>
      </c>
      <c r="AF87" s="2065">
        <f>SUBTOTAL(9,Z87:AE87)</f>
        <v/>
      </c>
      <c r="AG87" s="2073">
        <f>SUMIFS(AG$4:AG$90,$C$4:$C$90,$Y87,$F$4:$F$90,"Revenue")</f>
        <v/>
      </c>
      <c r="AH87" s="2073">
        <f>SUMIFS(AH$4:AH$90,$C$4:$C$90,$Y87,$F$4:$F$90,"Revenue")</f>
        <v/>
      </c>
      <c r="AI87" s="2073">
        <f>SUMIFS(AI$4:AI$90,$C$4:$C$90,$Y87,$F$4:$F$90,"Revenue")</f>
        <v/>
      </c>
      <c r="AJ87" s="2073">
        <f>SUMIFS(AJ$4:AJ$90,$C$4:$C$90,$Y87,$F$4:$F$90,"Revenue")</f>
        <v/>
      </c>
      <c r="AK87" s="2073">
        <f>SUMIFS(AK$4:AK$90,$C$4:$C$90,$Y87,$F$4:$F$90,"Revenue")</f>
        <v/>
      </c>
      <c r="AL87" s="2073">
        <f>SUMIFS(AL$4:AL$90,$C$4:$C$90,$Y87,$F$4:$F$90,"Revenue")</f>
        <v/>
      </c>
      <c r="AM87" s="2065">
        <f>SUBTOTAL(9,AG87:AL87)</f>
        <v/>
      </c>
      <c r="AN87" s="2065">
        <f>SUM(AF87,AM87)</f>
        <v/>
      </c>
    </row>
    <row customHeight="1" ht="13.5" r="88" s="1843" spans="1:41">
      <c r="B88" s="2066" t="s">
        <v>133</v>
      </c>
      <c r="C88" s="2067" t="n"/>
      <c r="D88" s="2068" t="n"/>
      <c r="E88" s="2068" t="n"/>
      <c r="F88" s="2069" t="n"/>
      <c r="G88" s="2068">
        <f>SUMIFS(G$5:G$71,$C$5:$C$71,$B88,$F$5:$F$71,"Revenue")/1000</f>
        <v/>
      </c>
      <c r="H88" s="2068">
        <f>SUMIFS(H$5:H$71,$C$5:$C$71,$B88,$F$5:$F$71,"Revenue")/1000</f>
        <v/>
      </c>
      <c r="I88" s="2068">
        <f>SUMIFS(I$5:I$71,$C$5:$C$71,$B88,$F$5:$F$71,"Revenue")/1000</f>
        <v/>
      </c>
      <c r="J88" s="2068">
        <f>SUMIFS(J$5:J$71,$C$5:$C$71,$B88,$F$5:$F$71,"Revenue")/1000</f>
        <v/>
      </c>
      <c r="K88" s="2068">
        <f>SUMIFS(K$5:K$71,$C$5:$C$71,$B88,$F$5:$F$71,"Revenue")/1000</f>
        <v/>
      </c>
      <c r="L88" s="2068">
        <f>SUMIFS(L$5:L$71,$C$5:$C$71,$B88,$F$5:$F$71,"Revenue")/1000</f>
        <v/>
      </c>
      <c r="M88" s="2070">
        <f>SUMIFS(M$5:M$71,$C$5:$C$71,$B88,$F$5:$F$71,"Revenue")/1000</f>
        <v/>
      </c>
      <c r="N88" s="2068">
        <f>SUMIFS(N$5:N$71,$C$5:$C$71,$B88,$F$5:$F$71,"Revenue")/1000</f>
        <v/>
      </c>
      <c r="O88" s="2068">
        <f>SUMIFS(O$5:O$71,$C$5:$C$71,$B88,$F$5:$F$71,"Revenue")/1000</f>
        <v/>
      </c>
      <c r="P88" s="2068">
        <f>SUMIFS(P$5:P$71,$C$5:$C$71,$B88,$F$5:$F$71,"Revenue")/1000</f>
        <v/>
      </c>
      <c r="Q88" s="2068">
        <f>SUMIFS(Q$5:Q$71,$C$5:$C$71,$B88,$F$5:$F$71,"Revenue")/1000</f>
        <v/>
      </c>
      <c r="R88" s="2068">
        <f>SUMIFS(R$5:R$71,$C$5:$C$71,$B88,$F$5:$F$71,"Revenue")/1000</f>
        <v/>
      </c>
      <c r="S88" s="2068">
        <f>SUMIFS(S$5:S$71,$C$5:$C$71,$B88,$F$5:$F$71,"Revenue")/1000</f>
        <v/>
      </c>
      <c r="T88" s="2071">
        <f>SUMIFS(T$5:T$71,$C$5:$C$71,$B88,$F$5:$F$71,"Revenue")/1000</f>
        <v/>
      </c>
      <c r="U88" s="2071">
        <f>SUMIFS(U$5:U$71,$C$5:$C$71,$B88,$F$5:$F$71,"Revenue")/1000</f>
        <v/>
      </c>
      <c r="V88" s="2072" t="n"/>
      <c r="X88" s="2034" t="n"/>
      <c r="Y88" s="2066">
        <f>B88</f>
        <v/>
      </c>
      <c r="Z88" s="2073">
        <f>SUMIFS(Z$4:Z$70,$C$4:$C$70,$Y88,$F$4:$F$70,"Revenue")</f>
        <v/>
      </c>
      <c r="AA88" s="2073">
        <f>SUMIFS(AA$4:AA$70,$C$4:$C$70,$Y88,$F$4:$F$70,"Revenue")</f>
        <v/>
      </c>
      <c r="AB88" s="2073">
        <f>SUMIFS(AB$4:AB$70,$C$4:$C$70,$Y88,$F$4:$F$70,"Revenue")</f>
        <v/>
      </c>
      <c r="AC88" s="2073">
        <f>SUMIFS(AC$4:AC$70,$C$4:$C$70,$Y88,$F$4:$F$70,"Revenue")</f>
        <v/>
      </c>
      <c r="AD88" s="2073">
        <f>SUMIFS(AD$4:AD$70,$C$4:$C$70,$Y88,$F$4:$F$70,"Revenue")</f>
        <v/>
      </c>
      <c r="AE88" s="2073">
        <f>SUMIFS(AE$4:AE$70,$C$4:$C$70,$Y88,$F$4:$F$70,"Revenue")</f>
        <v/>
      </c>
      <c r="AF88" s="2065">
        <f>SUBTOTAL(9,Z88:AE88)</f>
        <v/>
      </c>
      <c r="AG88" s="2073">
        <f>SUMIFS(AG$4:AG$90,$C$4:$C$90,$Y88,$F$4:$F$90,"Revenue")</f>
        <v/>
      </c>
      <c r="AH88" s="2073">
        <f>SUMIFS(AH$4:AH$90,$C$4:$C$90,$Y88,$F$4:$F$90,"Revenue")</f>
        <v/>
      </c>
      <c r="AI88" s="2073">
        <f>SUMIFS(AI$4:AI$90,$C$4:$C$90,$Y88,$F$4:$F$90,"Revenue")</f>
        <v/>
      </c>
      <c r="AJ88" s="2073">
        <f>SUMIFS(AJ$4:AJ$90,$C$4:$C$90,$Y88,$F$4:$F$90,"Revenue")</f>
        <v/>
      </c>
      <c r="AK88" s="2073">
        <f>SUMIFS(AK$4:AK$90,$C$4:$C$90,$Y88,$F$4:$F$90,"Revenue")</f>
        <v/>
      </c>
      <c r="AL88" s="2073">
        <f>SUMIFS(AL$4:AL$90,$C$4:$C$90,$Y88,$F$4:$F$90,"Revenue")</f>
        <v/>
      </c>
      <c r="AM88" s="2065">
        <f>SUBTOTAL(9,AG88:AL88)</f>
        <v/>
      </c>
      <c r="AN88" s="2065">
        <f>SUM(AF88,AM88)</f>
        <v/>
      </c>
    </row>
    <row customHeight="1" ht="13.5" r="89" s="1843" spans="1:41">
      <c r="B89" s="2066" t="s">
        <v>124</v>
      </c>
      <c r="C89" s="2067" t="n"/>
      <c r="D89" s="2068" t="n"/>
      <c r="E89" s="2068" t="n"/>
      <c r="F89" s="2069" t="n"/>
      <c r="G89" s="2068">
        <f>SUMIFS(G$5:G$71,$C$5:$C$71,$B89,$F$5:$F$71,"Revenue")/1000</f>
        <v/>
      </c>
      <c r="H89" s="2068">
        <f>SUMIFS(H$5:H$71,$C$5:$C$71,$B89,$F$5:$F$71,"Revenue")/1000</f>
        <v/>
      </c>
      <c r="I89" s="2068">
        <f>SUMIFS(I$5:I$71,$C$5:$C$71,$B89,$F$5:$F$71,"Revenue")/1000</f>
        <v/>
      </c>
      <c r="J89" s="2068">
        <f>SUMIFS(J$5:J$71,$C$5:$C$71,$B89,$F$5:$F$71,"Revenue")/1000</f>
        <v/>
      </c>
      <c r="K89" s="2068">
        <f>SUMIFS(K$5:K$71,$C$5:$C$71,$B89,$F$5:$F$71,"Revenue")/1000</f>
        <v/>
      </c>
      <c r="L89" s="2068">
        <f>SUMIFS(L$5:L$71,$C$5:$C$71,$B89,$F$5:$F$71,"Revenue")/1000</f>
        <v/>
      </c>
      <c r="M89" s="2070">
        <f>SUMIFS(M$5:M$71,$C$5:$C$71,$B89,$F$5:$F$71,"Revenue")/1000</f>
        <v/>
      </c>
      <c r="N89" s="2068">
        <f>SUMIFS(N$5:N$71,$C$5:$C$71,$B89,$F$5:$F$71,"Revenue")/1000</f>
        <v/>
      </c>
      <c r="O89" s="2068">
        <f>SUMIFS(O$5:O$71,$C$5:$C$71,$B89,$F$5:$F$71,"Revenue")/1000</f>
        <v/>
      </c>
      <c r="P89" s="2068">
        <f>SUMIFS(P$5:P$71,$C$5:$C$71,$B89,$F$5:$F$71,"Revenue")/1000</f>
        <v/>
      </c>
      <c r="Q89" s="2068">
        <f>SUMIFS(Q$5:Q$71,$C$5:$C$71,$B89,$F$5:$F$71,"Revenue")/1000</f>
        <v/>
      </c>
      <c r="R89" s="2068">
        <f>SUMIFS(R$5:R$71,$C$5:$C$71,$B89,$F$5:$F$71,"Revenue")/1000</f>
        <v/>
      </c>
      <c r="S89" s="2068">
        <f>SUMIFS(S$5:S$71,$C$5:$C$71,$B89,$F$5:$F$71,"Revenue")/1000</f>
        <v/>
      </c>
      <c r="T89" s="2071">
        <f>SUMIFS(T$5:T$71,$C$5:$C$71,$B89,$F$5:$F$71,"Revenue")/1000</f>
        <v/>
      </c>
      <c r="U89" s="2071">
        <f>SUMIFS(U$5:U$71,$C$5:$C$71,$B89,$F$5:$F$71,"Revenue")/1000</f>
        <v/>
      </c>
      <c r="V89" s="2072" t="n"/>
      <c r="X89" s="2041" t="n"/>
      <c r="Y89" s="2066">
        <f>B89</f>
        <v/>
      </c>
      <c r="Z89" s="2073">
        <f>SUMIFS(Z$4:Z$70,$C$4:$C$70,$Y89,$F$4:$F$70,"Revenue")</f>
        <v/>
      </c>
      <c r="AA89" s="2073">
        <f>SUMIFS(AA$4:AA$70,$C$4:$C$70,$Y89,$F$4:$F$70,"Revenue")</f>
        <v/>
      </c>
      <c r="AB89" s="2073">
        <f>SUMIFS(AB$4:AB$70,$C$4:$C$70,$Y89,$F$4:$F$70,"Revenue")</f>
        <v/>
      </c>
      <c r="AC89" s="2073">
        <f>SUMIFS(AC$4:AC$70,$C$4:$C$70,$Y89,$F$4:$F$70,"Revenue")</f>
        <v/>
      </c>
      <c r="AD89" s="2073">
        <f>SUMIFS(AD$4:AD$70,$C$4:$C$70,$Y89,$F$4:$F$70,"Revenue")</f>
        <v/>
      </c>
      <c r="AE89" s="2073">
        <f>SUMIFS(AE$4:AE$70,$C$4:$C$70,$Y89,$F$4:$F$70,"Revenue")</f>
        <v/>
      </c>
      <c r="AF89" s="2065">
        <f>SUBTOTAL(9,Z89:AE89)</f>
        <v/>
      </c>
      <c r="AG89" s="2073">
        <f>SUMIFS(AG$4:AG$90,$C$4:$C$90,$Y89,$F$4:$F$90,"Revenue")</f>
        <v/>
      </c>
      <c r="AH89" s="2073">
        <f>SUMIFS(AH$4:AH$90,$C$4:$C$90,$Y89,$F$4:$F$90,"Revenue")</f>
        <v/>
      </c>
      <c r="AI89" s="2073">
        <f>SUMIFS(AI$4:AI$90,$C$4:$C$90,$Y89,$F$4:$F$90,"Revenue")</f>
        <v/>
      </c>
      <c r="AJ89" s="2073">
        <f>SUMIFS(AJ$4:AJ$90,$C$4:$C$90,$Y89,$F$4:$F$90,"Revenue")</f>
        <v/>
      </c>
      <c r="AK89" s="2073">
        <f>SUMIFS(AK$4:AK$90,$C$4:$C$90,$Y89,$F$4:$F$90,"Revenue")</f>
        <v/>
      </c>
      <c r="AL89" s="2073">
        <f>SUMIFS(AL$4:AL$90,$C$4:$C$90,$Y89,$F$4:$F$90,"Revenue")</f>
        <v/>
      </c>
      <c r="AM89" s="2065">
        <f>SUBTOTAL(9,AG89:AL89)</f>
        <v/>
      </c>
      <c r="AN89" s="2065">
        <f>SUM(AF89,AM89)</f>
        <v/>
      </c>
    </row>
    <row customHeight="1" ht="13.5" r="90" s="1843" spans="1:41">
      <c r="B90" s="2066" t="s">
        <v>115</v>
      </c>
      <c r="C90" s="2067" t="n"/>
      <c r="D90" s="2068" t="n"/>
      <c r="E90" s="2068" t="n"/>
      <c r="F90" s="2069" t="n"/>
      <c r="G90" s="2068">
        <f>SUMIFS(G$5:G$71,$C$5:$C$71,$B90,$F$5:$F$71,"Revenue")/1000</f>
        <v/>
      </c>
      <c r="H90" s="2068">
        <f>SUMIFS(H$5:H$71,$C$5:$C$71,$B90,$F$5:$F$71,"Revenue")/1000</f>
        <v/>
      </c>
      <c r="I90" s="2068">
        <f>SUMIFS(I$5:I$71,$C$5:$C$71,$B90,$F$5:$F$71,"Revenue")/1000</f>
        <v/>
      </c>
      <c r="J90" s="2068">
        <f>SUMIFS(J$5:J$71,$C$5:$C$71,$B90,$F$5:$F$71,"Revenue")/1000</f>
        <v/>
      </c>
      <c r="K90" s="2068">
        <f>SUMIFS(K$5:K$71,$C$5:$C$71,$B90,$F$5:$F$71,"Revenue")/1000</f>
        <v/>
      </c>
      <c r="L90" s="2068">
        <f>SUMIFS(L$5:L$71,$C$5:$C$71,$B90,$F$5:$F$71,"Revenue")/1000</f>
        <v/>
      </c>
      <c r="M90" s="2070">
        <f>SUMIFS(M$5:M$71,$C$5:$C$71,$B90,$F$5:$F$71,"Revenue")/1000</f>
        <v/>
      </c>
      <c r="N90" s="2068">
        <f>SUMIFS(N$5:N$71,$C$5:$C$71,$B90,$F$5:$F$71,"Revenue")/1000</f>
        <v/>
      </c>
      <c r="O90" s="2068">
        <f>SUMIFS(O$5:O$71,$C$5:$C$71,$B90,$F$5:$F$71,"Revenue")/1000</f>
        <v/>
      </c>
      <c r="P90" s="2068">
        <f>SUMIFS(P$5:P$71,$C$5:$C$71,$B90,$F$5:$F$71,"Revenue")/1000</f>
        <v/>
      </c>
      <c r="Q90" s="2068">
        <f>SUMIFS(Q$5:Q$71,$C$5:$C$71,$B90,$F$5:$F$71,"Revenue")/1000</f>
        <v/>
      </c>
      <c r="R90" s="2068">
        <f>SUMIFS(R$5:R$71,$C$5:$C$71,$B90,$F$5:$F$71,"Revenue")/1000</f>
        <v/>
      </c>
      <c r="S90" s="2068">
        <f>SUMIFS(S$5:S$71,$C$5:$C$71,$B90,$F$5:$F$71,"Revenue")/1000</f>
        <v/>
      </c>
      <c r="T90" s="2071">
        <f>SUMIFS(T$5:T$71,$C$5:$C$71,$B90,$F$5:$F$71,"Revenue")/1000</f>
        <v/>
      </c>
      <c r="U90" s="2071">
        <f>SUMIFS(U$5:U$71,$C$5:$C$71,$B90,$F$5:$F$71,"Revenue")/1000</f>
        <v/>
      </c>
      <c r="V90" s="2072" t="n"/>
      <c r="X90" s="2048" t="n"/>
      <c r="Y90" s="2066">
        <f>B90</f>
        <v/>
      </c>
      <c r="Z90" s="2073">
        <f>SUMIFS(Z$4:Z$70,$C$4:$C$70,$Y90,$F$4:$F$70,"Revenue")</f>
        <v/>
      </c>
      <c r="AA90" s="2073">
        <f>SUMIFS(AA$4:AA$70,$C$4:$C$70,$Y90,$F$4:$F$70,"Revenue")</f>
        <v/>
      </c>
      <c r="AB90" s="2073">
        <f>SUMIFS(AB$4:AB$70,$C$4:$C$70,$Y90,$F$4:$F$70,"Revenue")</f>
        <v/>
      </c>
      <c r="AC90" s="2073">
        <f>SUMIFS(AC$4:AC$70,$C$4:$C$70,$Y90,$F$4:$F$70,"Revenue")</f>
        <v/>
      </c>
      <c r="AD90" s="2073">
        <f>SUMIFS(AD$4:AD$70,$C$4:$C$70,$Y90,$F$4:$F$70,"Revenue")</f>
        <v/>
      </c>
      <c r="AE90" s="2073">
        <f>SUMIFS(AE$4:AE$70,$C$4:$C$70,$Y90,$F$4:$F$70,"Revenue")</f>
        <v/>
      </c>
      <c r="AF90" s="2065">
        <f>SUBTOTAL(9,Z90:AE90)</f>
        <v/>
      </c>
      <c r="AG90" s="2073">
        <f>SUMIFS(AG$4:AG$90,$C$4:$C$90,$Y90,$F$4:$F$90,"Revenue")</f>
        <v/>
      </c>
      <c r="AH90" s="2073">
        <f>SUMIFS(AH$4:AH$90,$C$4:$C$90,$Y90,$F$4:$F$90,"Revenue")</f>
        <v/>
      </c>
      <c r="AI90" s="2073">
        <f>SUMIFS(AI$4:AI$90,$C$4:$C$90,$Y90,$F$4:$F$90,"Revenue")</f>
        <v/>
      </c>
      <c r="AJ90" s="2073">
        <f>SUMIFS(AJ$4:AJ$90,$C$4:$C$90,$Y90,$F$4:$F$90,"Revenue")</f>
        <v/>
      </c>
      <c r="AK90" s="2073">
        <f>SUMIFS(AK$4:AK$90,$C$4:$C$90,$Y90,$F$4:$F$90,"Revenue")</f>
        <v/>
      </c>
      <c r="AL90" s="2073">
        <f>SUMIFS(AL$4:AL$90,$C$4:$C$90,$Y90,$F$4:$F$90,"Revenue")</f>
        <v/>
      </c>
      <c r="AM90" s="2065">
        <f>SUBTOTAL(9,AG90:AL90)</f>
        <v/>
      </c>
      <c r="AN90" s="2065">
        <f>SUM(AF90,AM90)</f>
        <v/>
      </c>
    </row>
    <row r="91" spans="1:41">
      <c r="L91" s="1941" t="n"/>
      <c r="M91" s="1941" t="n"/>
      <c r="N91" s="1941" t="n"/>
      <c r="X91" s="1944" t="n"/>
      <c r="Y91" s="2008" t="n"/>
      <c r="Z91" s="2008" t="n"/>
      <c r="AA91" s="2027" t="n"/>
      <c r="AB91" s="1944" t="n"/>
      <c r="AC91" s="1944" t="n"/>
      <c r="AD91" s="1973" t="n"/>
      <c r="AE91" s="1973" t="n"/>
      <c r="AF91" s="1973" t="n"/>
      <c r="AG91" s="1974" t="n"/>
      <c r="AH91" s="1974" t="n"/>
      <c r="AN91" s="1938" t="n"/>
      <c r="AO91" s="1938" t="n"/>
    </row>
    <row r="92" spans="1:41">
      <c r="B92" s="2058" t="s">
        <v>87</v>
      </c>
      <c r="C92" s="2059" t="n"/>
      <c r="D92" s="2074" t="n"/>
      <c r="E92" s="2059" t="n"/>
      <c r="F92" s="2061" t="n"/>
      <c r="G92" s="2060">
        <f>SUM(G93:G103)</f>
        <v/>
      </c>
      <c r="H92" s="2060">
        <f>SUM(H93:H103)</f>
        <v/>
      </c>
      <c r="I92" s="2060">
        <f>SUM(I93:I103)</f>
        <v/>
      </c>
      <c r="J92" s="2060">
        <f>SUM(J93:J103)</f>
        <v/>
      </c>
      <c r="K92" s="2060">
        <f>SUM(K93:K103)</f>
        <v/>
      </c>
      <c r="L92" s="2060">
        <f>SUM(L93:L103)</f>
        <v/>
      </c>
      <c r="M92" s="2062">
        <f>SUM(M93:M103)</f>
        <v/>
      </c>
      <c r="N92" s="2060">
        <f>SUM(N93:N103)</f>
        <v/>
      </c>
      <c r="O92" s="2060">
        <f>SUM(O93:O103)</f>
        <v/>
      </c>
      <c r="P92" s="2060">
        <f>SUM(P93:P103)</f>
        <v/>
      </c>
      <c r="Q92" s="2060">
        <f>SUM(Q93:Q103)</f>
        <v/>
      </c>
      <c r="R92" s="2060">
        <f>SUM(R93:R103)</f>
        <v/>
      </c>
      <c r="S92" s="2060">
        <f>SUM(S93:S103)</f>
        <v/>
      </c>
      <c r="T92" s="2062">
        <f>SUM(T93:T103)</f>
        <v/>
      </c>
      <c r="U92" s="2062">
        <f>SUM(U93:U103)</f>
        <v/>
      </c>
      <c r="V92" s="1938" t="n"/>
      <c r="X92" s="2008" t="n"/>
      <c r="Y92" s="2008" t="n"/>
      <c r="Z92" s="2008" t="n"/>
      <c r="AA92" s="2027" t="n"/>
      <c r="AB92" s="1944" t="n"/>
      <c r="AC92" s="1944" t="n"/>
      <c r="AD92" s="1973" t="n"/>
      <c r="AE92" s="1973" t="n"/>
      <c r="AF92" s="1973" t="n"/>
      <c r="AG92" s="1974" t="n"/>
      <c r="AH92" s="1974" t="n"/>
      <c r="AN92" s="1938" t="n"/>
      <c r="AO92" s="1938" t="n"/>
    </row>
    <row customHeight="1" ht="13.5" r="93" s="1843" spans="1:41">
      <c r="B93" s="2066">
        <f>B80</f>
        <v/>
      </c>
      <c r="C93" s="2067" t="n"/>
      <c r="D93" s="2075" t="n"/>
      <c r="E93" s="2067" t="n"/>
      <c r="F93" s="2069" t="n"/>
      <c r="G93" s="2068">
        <f>SUMIFS(G$5:G$71,$C$5:$C$71,$B93,$F$5:$F$71,$B$92)</f>
        <v/>
      </c>
      <c r="H93" s="2068">
        <f>SUMIFS(H$5:H$71,$C$5:$C$71,$B93,$F$5:$F$71,$B$92)</f>
        <v/>
      </c>
      <c r="I93" s="2068">
        <f>SUMIFS(I$5:I$71,$C$5:$C$71,$B93,$F$5:$F$71,$B$92)</f>
        <v/>
      </c>
      <c r="J93" s="2068">
        <f>SUMIFS(J$5:J$71,$C$5:$C$71,$B93,$F$5:$F$71,$B$92)</f>
        <v/>
      </c>
      <c r="K93" s="2068">
        <f>SUMIFS(K$5:K$71,$C$5:$C$71,$B93,$F$5:$F$71,$B$92)</f>
        <v/>
      </c>
      <c r="L93" s="2068">
        <f>SUMIFS(L$5:L$71,$C$5:$C$71,$B93,$F$5:$F$71,$B$92)</f>
        <v/>
      </c>
      <c r="M93" s="2071">
        <f>SUM(G93:L93)</f>
        <v/>
      </c>
      <c r="N93" s="2068">
        <f>SUMIFS(N$5:N$71,$C$5:$C$71,$B93,$F$5:$F$71,$B$92)</f>
        <v/>
      </c>
      <c r="O93" s="2068">
        <f>SUMIFS(O$5:O$71,$C$5:$C$71,$B93,$F$5:$F$71,$B$92)</f>
        <v/>
      </c>
      <c r="P93" s="2068">
        <f>SUMIFS(P$5:P$71,$C$5:$C$71,$B93,$F$5:$F$71,$B$92)</f>
        <v/>
      </c>
      <c r="Q93" s="2068">
        <f>SUMIFS(Q$5:Q$71,$C$5:$C$71,$B93,$F$5:$F$71,$B$92)</f>
        <v/>
      </c>
      <c r="R93" s="2068">
        <f>SUMIFS(R$5:R$71,$C$5:$C$71,$B93,$F$5:$F$71,$B$92)</f>
        <v/>
      </c>
      <c r="S93" s="2068">
        <f>SUMIFS(S$5:S$71,$C$5:$C$71,$B93,$F$5:$F$71,$B$92)</f>
        <v/>
      </c>
      <c r="T93" s="2071">
        <f>SUM(N93:S93)</f>
        <v/>
      </c>
      <c r="U93" s="2071">
        <f>M93+T93</f>
        <v/>
      </c>
      <c r="V93" s="1938" t="n"/>
      <c r="AD93" s="1973" t="n"/>
      <c r="AE93" s="1974" t="n"/>
      <c r="AF93" s="1974" t="n"/>
      <c r="AN93" s="1938" t="n"/>
      <c r="AO93" s="1938" t="n"/>
    </row>
    <row customHeight="1" ht="13.5" r="94" s="1843" spans="1:41">
      <c r="B94" s="2066">
        <f>B81</f>
        <v/>
      </c>
      <c r="C94" s="2067" t="n"/>
      <c r="D94" s="2075" t="n"/>
      <c r="E94" s="2067" t="n"/>
      <c r="F94" s="2069" t="n"/>
      <c r="G94" s="2068">
        <f>SUMIFS(G$5:G$71,$C$5:$C$71,$B94,$F$5:$F$71,$B$92)</f>
        <v/>
      </c>
      <c r="H94" s="2068">
        <f>SUMIFS(H$5:H$71,$C$5:$C$71,$B94,$F$5:$F$71,$B$92)</f>
        <v/>
      </c>
      <c r="I94" s="2068">
        <f>SUMIFS(I$5:I$71,$C$5:$C$71,$B94,$F$5:$F$71,$B$92)</f>
        <v/>
      </c>
      <c r="J94" s="2068">
        <f>SUMIFS(J$5:J$71,$C$5:$C$71,$B94,$F$5:$F$71,$B$92)</f>
        <v/>
      </c>
      <c r="K94" s="2068">
        <f>SUMIFS(K$5:K$71,$C$5:$C$71,$B94,$F$5:$F$71,$B$92)</f>
        <v/>
      </c>
      <c r="L94" s="2068">
        <f>SUMIFS(L$5:L$71,$C$5:$C$71,$B94,$F$5:$F$71,$B$92)</f>
        <v/>
      </c>
      <c r="M94" s="2071">
        <f>SUM(G94:L94)</f>
        <v/>
      </c>
      <c r="N94" s="2068">
        <f>SUMIFS(N$5:N$71,$C$5:$C$71,$B94,$F$5:$F$71,$B$92)</f>
        <v/>
      </c>
      <c r="O94" s="2068">
        <f>SUMIFS(O$5:O$71,$C$5:$C$71,$B94,$F$5:$F$71,$B$92)</f>
        <v/>
      </c>
      <c r="P94" s="2068">
        <f>SUMIFS(P$5:P$71,$C$5:$C$71,$B94,$F$5:$F$71,$B$92)</f>
        <v/>
      </c>
      <c r="Q94" s="2068">
        <f>SUMIFS(Q$5:Q$71,$C$5:$C$71,$B94,$F$5:$F$71,$B$92)</f>
        <v/>
      </c>
      <c r="R94" s="2068">
        <f>SUMIFS(R$5:R$71,$C$5:$C$71,$B94,$F$5:$F$71,$B$92)</f>
        <v/>
      </c>
      <c r="S94" s="2068">
        <f>SUMIFS(S$5:S$71,$C$5:$C$71,$B94,$F$5:$F$71,$B$92)</f>
        <v/>
      </c>
      <c r="T94" s="2071">
        <f>SUM(N94:S94)</f>
        <v/>
      </c>
      <c r="U94" s="2071">
        <f>M94+T94</f>
        <v/>
      </c>
      <c r="V94" s="1938" t="n"/>
      <c r="X94" s="1938" t="n"/>
      <c r="Y94" s="1938" t="n"/>
      <c r="Z94" s="1938" t="n"/>
      <c r="AA94" s="1938" t="n"/>
      <c r="AB94" s="1938" t="n"/>
      <c r="AC94" s="1938" t="n"/>
      <c r="AD94" s="1974" t="n"/>
      <c r="AE94" s="1938" t="n"/>
      <c r="AF94" s="1938" t="n"/>
      <c r="AG94" s="1938" t="n"/>
      <c r="AH94" s="1938" t="n"/>
      <c r="AI94" s="1938" t="n"/>
      <c r="AJ94" s="1938" t="n"/>
      <c r="AK94" s="1938" t="n"/>
      <c r="AL94" s="1938" t="n"/>
      <c r="AM94" s="1938" t="n"/>
      <c r="AN94" s="1938" t="n"/>
      <c r="AO94" s="1938" t="n"/>
    </row>
    <row customHeight="1" ht="13.5" r="95" s="1843" spans="1:41">
      <c r="B95" s="2066">
        <f>B82</f>
        <v/>
      </c>
      <c r="C95" s="2067" t="n"/>
      <c r="D95" s="2075" t="n"/>
      <c r="E95" s="2067" t="n"/>
      <c r="F95" s="2069" t="n"/>
      <c r="G95" s="2068">
        <f>SUMIFS(G$5:G$71,$C$5:$C$71,$B95,$F$5:$F$71,$B$92)</f>
        <v/>
      </c>
      <c r="H95" s="2068">
        <f>SUMIFS(H$5:H$71,$C$5:$C$71,$B95,$F$5:$F$71,$B$92)</f>
        <v/>
      </c>
      <c r="I95" s="2068">
        <f>SUMIFS(I$5:I$71,$C$5:$C$71,$B95,$F$5:$F$71,$B$92)</f>
        <v/>
      </c>
      <c r="J95" s="2068">
        <f>SUMIFS(J$5:J$71,$C$5:$C$71,$B95,$F$5:$F$71,$B$92)</f>
        <v/>
      </c>
      <c r="K95" s="2068">
        <f>SUMIFS(K$5:K$71,$C$5:$C$71,$B95,$F$5:$F$71,$B$92)</f>
        <v/>
      </c>
      <c r="L95" s="2068">
        <f>SUMIFS(L$5:L$71,$C$5:$C$71,$B95,$F$5:$F$71,$B$92)</f>
        <v/>
      </c>
      <c r="M95" s="2071">
        <f>SUM(G95:L95)</f>
        <v/>
      </c>
      <c r="N95" s="2068">
        <f>SUMIFS(N$5:N$71,$C$5:$C$71,$B95,$F$5:$F$71,$B$92)</f>
        <v/>
      </c>
      <c r="O95" s="2068">
        <f>SUMIFS(O$5:O$71,$C$5:$C$71,$B95,$F$5:$F$71,$B$92)</f>
        <v/>
      </c>
      <c r="P95" s="2068">
        <f>SUMIFS(P$5:P$71,$C$5:$C$71,$B95,$F$5:$F$71,$B$92)</f>
        <v/>
      </c>
      <c r="Q95" s="2068">
        <f>SUMIFS(Q$5:Q$71,$C$5:$C$71,$B95,$F$5:$F$71,$B$92)</f>
        <v/>
      </c>
      <c r="R95" s="2068">
        <f>SUMIFS(R$5:R$71,$C$5:$C$71,$B95,$F$5:$F$71,$B$92)</f>
        <v/>
      </c>
      <c r="S95" s="2068">
        <f>SUMIFS(S$5:S$71,$C$5:$C$71,$B95,$F$5:$F$71,$B$92)</f>
        <v/>
      </c>
      <c r="T95" s="2071">
        <f>SUM(N95:S95)</f>
        <v/>
      </c>
      <c r="U95" s="2071">
        <f>M95+T95</f>
        <v/>
      </c>
      <c r="V95" s="1938" t="n"/>
      <c r="X95" s="1938" t="n"/>
      <c r="Y95" s="1938" t="n"/>
      <c r="Z95" s="1938" t="n"/>
      <c r="AA95" s="1938" t="n"/>
      <c r="AB95" s="1938" t="n"/>
      <c r="AC95" s="1938" t="n"/>
      <c r="AD95" s="1974" t="n"/>
      <c r="AE95" s="1938" t="n"/>
      <c r="AF95" s="1938" t="n"/>
      <c r="AG95" s="1938" t="n"/>
      <c r="AH95" s="1938" t="n"/>
      <c r="AI95" s="1938" t="n"/>
      <c r="AJ95" s="1938" t="n"/>
      <c r="AK95" s="1938" t="n"/>
      <c r="AL95" s="1938" t="n"/>
      <c r="AM95" s="1938" t="n"/>
      <c r="AN95" s="1938" t="n"/>
      <c r="AO95" s="1938" t="n"/>
    </row>
    <row customHeight="1" ht="13.5" r="96" s="1843" spans="1:41">
      <c r="B96" s="2066">
        <f>B83</f>
        <v/>
      </c>
      <c r="C96" s="2067" t="n"/>
      <c r="D96" s="2075" t="n"/>
      <c r="E96" s="2067" t="n"/>
      <c r="F96" s="2069" t="n"/>
      <c r="G96" s="2068">
        <f>SUMIFS(G$5:G$71,$C$5:$C$71,$B96,$F$5:$F$71,$B$92)</f>
        <v/>
      </c>
      <c r="H96" s="2068">
        <f>SUMIFS(H$5:H$71,$C$5:$C$71,$B96,$F$5:$F$71,$B$92)</f>
        <v/>
      </c>
      <c r="I96" s="2068">
        <f>SUMIFS(I$5:I$71,$C$5:$C$71,$B96,$F$5:$F$71,$B$92)</f>
        <v/>
      </c>
      <c r="J96" s="2068">
        <f>SUMIFS(J$5:J$71,$C$5:$C$71,$B96,$F$5:$F$71,$B$92)</f>
        <v/>
      </c>
      <c r="K96" s="2068">
        <f>SUMIFS(K$5:K$71,$C$5:$C$71,$B96,$F$5:$F$71,$B$92)</f>
        <v/>
      </c>
      <c r="L96" s="2068">
        <f>SUMIFS(L$5:L$71,$C$5:$C$71,$B96,$F$5:$F$71,$B$92)</f>
        <v/>
      </c>
      <c r="M96" s="2071">
        <f>SUM(G96:L96)</f>
        <v/>
      </c>
      <c r="N96" s="2068">
        <f>SUMIFS(N$5:N$71,$C$5:$C$71,$B96,$F$5:$F$71,$B$92)</f>
        <v/>
      </c>
      <c r="O96" s="2068">
        <f>SUMIFS(O$5:O$71,$C$5:$C$71,$B96,$F$5:$F$71,$B$92)</f>
        <v/>
      </c>
      <c r="P96" s="2068">
        <f>SUMIFS(P$5:P$71,$C$5:$C$71,$B96,$F$5:$F$71,$B$92)</f>
        <v/>
      </c>
      <c r="Q96" s="2068">
        <f>SUMIFS(Q$5:Q$71,$C$5:$C$71,$B96,$F$5:$F$71,$B$92)</f>
        <v/>
      </c>
      <c r="R96" s="2068">
        <f>SUMIFS(R$5:R$71,$C$5:$C$71,$B96,$F$5:$F$71,$B$92)</f>
        <v/>
      </c>
      <c r="S96" s="2068">
        <f>SUMIFS(S$5:S$71,$C$5:$C$71,$B96,$F$5:$F$71,$B$92)</f>
        <v/>
      </c>
      <c r="T96" s="2071">
        <f>SUM(N96:S96)</f>
        <v/>
      </c>
      <c r="U96" s="2071">
        <f>M96+T96</f>
        <v/>
      </c>
      <c r="V96" s="1938" t="n"/>
      <c r="X96" s="1938" t="n"/>
      <c r="Y96" s="1938" t="n"/>
      <c r="Z96" s="1938" t="n"/>
      <c r="AA96" s="1938" t="n"/>
      <c r="AB96" s="1938" t="n"/>
      <c r="AC96" s="1938" t="n"/>
      <c r="AD96" s="1974" t="n"/>
      <c r="AE96" s="1938" t="n"/>
      <c r="AF96" s="1938" t="n"/>
      <c r="AG96" s="1938" t="n"/>
      <c r="AH96" s="1938" t="n"/>
      <c r="AI96" s="1938" t="n"/>
      <c r="AJ96" s="1938" t="n"/>
      <c r="AK96" s="1938" t="n"/>
      <c r="AL96" s="1938" t="n"/>
      <c r="AM96" s="1938" t="n"/>
      <c r="AN96" s="1938" t="n"/>
      <c r="AO96" s="1938" t="n"/>
    </row>
    <row customHeight="1" ht="13.5" r="97" s="1843" spans="1:41">
      <c r="B97" s="2066">
        <f>B84</f>
        <v/>
      </c>
      <c r="C97" s="2067" t="n"/>
      <c r="D97" s="2075" t="n"/>
      <c r="E97" s="2067" t="n"/>
      <c r="F97" s="2069" t="n"/>
      <c r="G97" s="2068">
        <f>SUMIFS(G$5:G$71,$C$5:$C$71,$B97,$F$5:$F$71,$B$92)</f>
        <v/>
      </c>
      <c r="H97" s="2068">
        <f>SUMIFS(H$5:H$71,$C$5:$C$71,$B97,$F$5:$F$71,$B$92)</f>
        <v/>
      </c>
      <c r="I97" s="2068">
        <f>SUMIFS(I$5:I$71,$C$5:$C$71,$B97,$F$5:$F$71,$B$92)</f>
        <v/>
      </c>
      <c r="J97" s="2068">
        <f>SUMIFS(J$5:J$71,$C$5:$C$71,$B97,$F$5:$F$71,$B$92)</f>
        <v/>
      </c>
      <c r="K97" s="2068">
        <f>SUMIFS(K$5:K$71,$C$5:$C$71,$B97,$F$5:$F$71,$B$92)</f>
        <v/>
      </c>
      <c r="L97" s="2068">
        <f>SUMIFS(L$5:L$71,$C$5:$C$71,$B97,$F$5:$F$71,$B$92)</f>
        <v/>
      </c>
      <c r="M97" s="2071">
        <f>SUM(G97:L97)</f>
        <v/>
      </c>
      <c r="N97" s="2068">
        <f>SUMIFS(N$5:N$71,$C$5:$C$71,$B97,$F$5:$F$71,$B$92)</f>
        <v/>
      </c>
      <c r="O97" s="2068">
        <f>SUMIFS(O$5:O$71,$C$5:$C$71,$B97,$F$5:$F$71,$B$92)</f>
        <v/>
      </c>
      <c r="P97" s="2068">
        <f>SUMIFS(P$5:P$71,$C$5:$C$71,$B97,$F$5:$F$71,$B$92)</f>
        <v/>
      </c>
      <c r="Q97" s="2068">
        <f>SUMIFS(Q$5:Q$71,$C$5:$C$71,$B97,$F$5:$F$71,$B$92)</f>
        <v/>
      </c>
      <c r="R97" s="2068">
        <f>SUMIFS(R$5:R$71,$C$5:$C$71,$B97,$F$5:$F$71,$B$92)</f>
        <v/>
      </c>
      <c r="S97" s="2068">
        <f>SUMIFS(S$5:S$71,$C$5:$C$71,$B97,$F$5:$F$71,$B$92)</f>
        <v/>
      </c>
      <c r="T97" s="2071">
        <f>SUM(N97:S97)</f>
        <v/>
      </c>
      <c r="U97" s="2071">
        <f>M97+T97</f>
        <v/>
      </c>
      <c r="V97" s="1938" t="n"/>
      <c r="X97" s="1938" t="n"/>
      <c r="Y97" s="1938" t="n"/>
      <c r="Z97" s="1938" t="n"/>
      <c r="AA97" s="1938" t="n"/>
      <c r="AB97" s="1938" t="n"/>
      <c r="AC97" s="1938" t="n"/>
      <c r="AD97" s="1974" t="n"/>
      <c r="AE97" s="1938" t="n"/>
      <c r="AF97" s="1938" t="n"/>
      <c r="AG97" s="1938" t="n"/>
      <c r="AH97" s="1938" t="n"/>
      <c r="AI97" s="1938" t="n"/>
      <c r="AJ97" s="1938" t="n"/>
      <c r="AK97" s="1938" t="n"/>
      <c r="AL97" s="1938" t="n"/>
      <c r="AM97" s="1938" t="n"/>
      <c r="AN97" s="1938" t="n"/>
      <c r="AO97" s="1938" t="n"/>
    </row>
    <row customHeight="1" ht="13.5" r="98" s="1843" spans="1:41">
      <c r="B98" s="2066">
        <f>B85</f>
        <v/>
      </c>
      <c r="C98" s="2067" t="n"/>
      <c r="D98" s="2075" t="n"/>
      <c r="E98" s="2067" t="n"/>
      <c r="F98" s="2069" t="n"/>
      <c r="G98" s="2068">
        <f>SUMIFS(G$5:G$71,$C$5:$C$71,$B98,$F$5:$F$71,$B$92)</f>
        <v/>
      </c>
      <c r="H98" s="2068">
        <f>SUMIFS(H$5:H$71,$C$5:$C$71,$B98,$F$5:$F$71,$B$92)</f>
        <v/>
      </c>
      <c r="I98" s="2068">
        <f>SUMIFS(I$5:I$71,$C$5:$C$71,$B98,$F$5:$F$71,$B$92)</f>
        <v/>
      </c>
      <c r="J98" s="2068">
        <f>SUMIFS(J$5:J$71,$C$5:$C$71,$B98,$F$5:$F$71,$B$92)</f>
        <v/>
      </c>
      <c r="K98" s="2068">
        <f>SUMIFS(K$5:K$71,$C$5:$C$71,$B98,$F$5:$F$71,$B$92)</f>
        <v/>
      </c>
      <c r="L98" s="2068">
        <f>SUMIFS(L$5:L$71,$C$5:$C$71,$B98,$F$5:$F$71,$B$92)</f>
        <v/>
      </c>
      <c r="M98" s="2071">
        <f>SUM(G98:L98)</f>
        <v/>
      </c>
      <c r="N98" s="2068">
        <f>SUMIFS(N$5:N$71,$C$5:$C$71,$B98,$F$5:$F$71,$B$92)</f>
        <v/>
      </c>
      <c r="O98" s="2068">
        <f>SUMIFS(O$5:O$71,$C$5:$C$71,$B98,$F$5:$F$71,$B$92)</f>
        <v/>
      </c>
      <c r="P98" s="2068">
        <f>SUMIFS(P$5:P$71,$C$5:$C$71,$B98,$F$5:$F$71,$B$92)</f>
        <v/>
      </c>
      <c r="Q98" s="2068">
        <f>SUMIFS(Q$5:Q$71,$C$5:$C$71,$B98,$F$5:$F$71,$B$92)</f>
        <v/>
      </c>
      <c r="R98" s="2068">
        <f>SUMIFS(R$5:R$71,$C$5:$C$71,$B98,$F$5:$F$71,$B$92)</f>
        <v/>
      </c>
      <c r="S98" s="2068">
        <f>SUMIFS(S$5:S$71,$C$5:$C$71,$B98,$F$5:$F$71,$B$92)</f>
        <v/>
      </c>
      <c r="T98" s="2071">
        <f>SUM(N98:S98)</f>
        <v/>
      </c>
      <c r="U98" s="2071">
        <f>M98+T98</f>
        <v/>
      </c>
      <c r="V98" s="1938" t="n"/>
      <c r="X98" s="1938" t="n"/>
      <c r="Y98" s="1938" t="n"/>
      <c r="Z98" s="1938" t="n"/>
      <c r="AA98" s="1938" t="n"/>
      <c r="AB98" s="1938" t="n"/>
      <c r="AC98" s="1938" t="n"/>
      <c r="AD98" s="1974" t="n"/>
      <c r="AE98" s="1938" t="n"/>
      <c r="AF98" s="1938" t="n"/>
      <c r="AG98" s="1938" t="n"/>
      <c r="AH98" s="1938" t="n"/>
      <c r="AI98" s="1938" t="n"/>
      <c r="AJ98" s="1938" t="n"/>
      <c r="AK98" s="1938" t="n"/>
      <c r="AL98" s="1938" t="n"/>
      <c r="AM98" s="1938" t="n"/>
      <c r="AN98" s="1938" t="n"/>
      <c r="AO98" s="1938" t="n"/>
    </row>
    <row customHeight="1" ht="13.5" r="99" s="1843" spans="1:41">
      <c r="B99" s="2066">
        <f>B86</f>
        <v/>
      </c>
      <c r="C99" s="2067" t="n"/>
      <c r="D99" s="2075" t="n"/>
      <c r="E99" s="2067" t="n"/>
      <c r="F99" s="2069" t="n"/>
      <c r="G99" s="2068">
        <f>SUMIFS(G$5:G$71,$C$5:$C$71,$B99,$F$5:$F$71,$B$92)</f>
        <v/>
      </c>
      <c r="H99" s="2068">
        <f>SUMIFS(H$5:H$71,$C$5:$C$71,$B99,$F$5:$F$71,$B$92)</f>
        <v/>
      </c>
      <c r="I99" s="2068">
        <f>SUMIFS(I$5:I$71,$C$5:$C$71,$B99,$F$5:$F$71,$B$92)</f>
        <v/>
      </c>
      <c r="J99" s="2068">
        <f>SUMIFS(J$5:J$71,$C$5:$C$71,$B99,$F$5:$F$71,$B$92)</f>
        <v/>
      </c>
      <c r="K99" s="2068">
        <f>SUMIFS(K$5:K$71,$C$5:$C$71,$B99,$F$5:$F$71,$B$92)</f>
        <v/>
      </c>
      <c r="L99" s="2068">
        <f>SUMIFS(L$5:L$71,$C$5:$C$71,$B99,$F$5:$F$71,$B$92)</f>
        <v/>
      </c>
      <c r="M99" s="2071">
        <f>SUM(G99:L99)</f>
        <v/>
      </c>
      <c r="N99" s="2068">
        <f>SUMIFS(N$5:N$71,$C$5:$C$71,$B99,$F$5:$F$71,$B$92)</f>
        <v/>
      </c>
      <c r="O99" s="2068">
        <f>SUMIFS(O$5:O$71,$C$5:$C$71,$B99,$F$5:$F$71,$B$92)</f>
        <v/>
      </c>
      <c r="P99" s="2068">
        <f>SUMIFS(P$5:P$71,$C$5:$C$71,$B99,$F$5:$F$71,$B$92)</f>
        <v/>
      </c>
      <c r="Q99" s="2068">
        <f>SUMIFS(Q$5:Q$71,$C$5:$C$71,$B99,$F$5:$F$71,$B$92)</f>
        <v/>
      </c>
      <c r="R99" s="2068">
        <f>SUMIFS(R$5:R$71,$C$5:$C$71,$B99,$F$5:$F$71,$B$92)</f>
        <v/>
      </c>
      <c r="S99" s="2068">
        <f>SUMIFS(S$5:S$71,$C$5:$C$71,$B99,$F$5:$F$71,$B$92)</f>
        <v/>
      </c>
      <c r="T99" s="2071">
        <f>SUM(N99:S99)</f>
        <v/>
      </c>
      <c r="U99" s="2071">
        <f>M99+T99</f>
        <v/>
      </c>
      <c r="V99" s="1938" t="n"/>
      <c r="X99" s="1938" t="n"/>
      <c r="Y99" s="1938" t="n"/>
      <c r="Z99" s="1938" t="n"/>
      <c r="AA99" s="1938" t="n"/>
      <c r="AB99" s="1938" t="n"/>
      <c r="AC99" s="1938" t="n"/>
      <c r="AD99" s="1974" t="n"/>
      <c r="AE99" s="1938" t="n"/>
      <c r="AF99" s="1938" t="n"/>
      <c r="AG99" s="1938" t="n"/>
      <c r="AH99" s="1938" t="n"/>
      <c r="AI99" s="1938" t="n"/>
      <c r="AJ99" s="1938" t="n"/>
      <c r="AK99" s="1938" t="n"/>
      <c r="AL99" s="1938" t="n"/>
      <c r="AM99" s="1938" t="n"/>
      <c r="AN99" s="1938" t="n"/>
      <c r="AO99" s="1938" t="n"/>
    </row>
    <row customHeight="1" ht="13.5" r="100" s="1843" spans="1:41">
      <c r="B100" s="2066">
        <f>B87</f>
        <v/>
      </c>
      <c r="C100" s="2067" t="n"/>
      <c r="D100" s="2075" t="n"/>
      <c r="E100" s="2067" t="n"/>
      <c r="F100" s="2069" t="n"/>
      <c r="G100" s="2068">
        <f>SUMIFS(G$5:G$71,$C$5:$C$71,$B100,$F$5:$F$71,$B$92)</f>
        <v/>
      </c>
      <c r="H100" s="2068">
        <f>SUMIFS(H$5:H$71,$C$5:$C$71,$B100,$F$5:$F$71,$B$92)</f>
        <v/>
      </c>
      <c r="I100" s="2068">
        <f>SUMIFS(I$5:I$71,$C$5:$C$71,$B100,$F$5:$F$71,$B$92)</f>
        <v/>
      </c>
      <c r="J100" s="2068">
        <f>SUMIFS(J$5:J$71,$C$5:$C$71,$B100,$F$5:$F$71,$B$92)</f>
        <v/>
      </c>
      <c r="K100" s="2068">
        <f>SUMIFS(K$5:K$71,$C$5:$C$71,$B100,$F$5:$F$71,$B$92)</f>
        <v/>
      </c>
      <c r="L100" s="2068">
        <f>SUMIFS(L$5:L$71,$C$5:$C$71,$B100,$F$5:$F$71,$B$92)</f>
        <v/>
      </c>
      <c r="M100" s="2071">
        <f>SUM(G100:L100)</f>
        <v/>
      </c>
      <c r="N100" s="2068">
        <f>SUMIFS(N$5:N$71,$C$5:$C$71,$B100,$F$5:$F$71,$B$92)</f>
        <v/>
      </c>
      <c r="O100" s="2068">
        <f>SUMIFS(O$5:O$71,$C$5:$C$71,$B100,$F$5:$F$71,$B$92)</f>
        <v/>
      </c>
      <c r="P100" s="2068">
        <f>SUMIFS(P$5:P$71,$C$5:$C$71,$B100,$F$5:$F$71,$B$92)</f>
        <v/>
      </c>
      <c r="Q100" s="2068">
        <f>SUMIFS(Q$5:Q$71,$C$5:$C$71,$B100,$F$5:$F$71,$B$92)</f>
        <v/>
      </c>
      <c r="R100" s="2068">
        <f>SUMIFS(R$5:R$71,$C$5:$C$71,$B100,$F$5:$F$71,$B$92)</f>
        <v/>
      </c>
      <c r="S100" s="2068">
        <f>SUMIFS(S$5:S$71,$C$5:$C$71,$B100,$F$5:$F$71,$B$92)</f>
        <v/>
      </c>
      <c r="T100" s="2071">
        <f>SUM(N100:S100)</f>
        <v/>
      </c>
      <c r="U100" s="2071">
        <f>M100+T100</f>
        <v/>
      </c>
      <c r="V100" s="1938" t="n"/>
      <c r="X100" s="1938" t="n"/>
      <c r="Y100" s="1938" t="n"/>
      <c r="Z100" s="1938" t="n"/>
      <c r="AA100" s="1938" t="n"/>
      <c r="AB100" s="1938" t="n"/>
      <c r="AC100" s="1938" t="n"/>
      <c r="AD100" s="1974" t="n"/>
      <c r="AE100" s="1938" t="n"/>
      <c r="AF100" s="1938" t="n"/>
      <c r="AG100" s="1938" t="n"/>
      <c r="AH100" s="1938" t="n"/>
      <c r="AI100" s="1938" t="n"/>
      <c r="AJ100" s="1938" t="n"/>
      <c r="AK100" s="1938" t="n"/>
      <c r="AL100" s="1938" t="n"/>
      <c r="AM100" s="1938" t="n"/>
      <c r="AN100" s="1938" t="n"/>
      <c r="AO100" s="1938" t="n"/>
    </row>
    <row customHeight="1" ht="13.5" r="101" s="1843" spans="1:41">
      <c r="B101" s="2066">
        <f>B88</f>
        <v/>
      </c>
      <c r="C101" s="2067" t="n"/>
      <c r="D101" s="2075" t="n"/>
      <c r="E101" s="2067" t="n"/>
      <c r="F101" s="2069" t="n"/>
      <c r="G101" s="2068">
        <f>SUMIFS(G$5:G$71,$C$5:$C$71,$B101,$F$5:$F$71,$B$92)</f>
        <v/>
      </c>
      <c r="H101" s="2068">
        <f>SUMIFS(H$5:H$71,$C$5:$C$71,$B101,$F$5:$F$71,$B$92)</f>
        <v/>
      </c>
      <c r="I101" s="2068">
        <f>SUMIFS(I$5:I$71,$C$5:$C$71,$B101,$F$5:$F$71,$B$92)</f>
        <v/>
      </c>
      <c r="J101" s="2068">
        <f>SUMIFS(J$5:J$71,$C$5:$C$71,$B101,$F$5:$F$71,$B$92)</f>
        <v/>
      </c>
      <c r="K101" s="2068">
        <f>SUMIFS(K$5:K$71,$C$5:$C$71,$B101,$F$5:$F$71,$B$92)</f>
        <v/>
      </c>
      <c r="L101" s="2068">
        <f>SUMIFS(L$5:L$71,$C$5:$C$71,$B101,$F$5:$F$71,$B$92)</f>
        <v/>
      </c>
      <c r="M101" s="2071">
        <f>SUM(G101:L101)</f>
        <v/>
      </c>
      <c r="N101" s="2068">
        <f>SUMIFS(N$5:N$71,$C$5:$C$71,$B101,$F$5:$F$71,$B$92)</f>
        <v/>
      </c>
      <c r="O101" s="2068">
        <f>SUMIFS(O$5:O$71,$C$5:$C$71,$B101,$F$5:$F$71,$B$92)</f>
        <v/>
      </c>
      <c r="P101" s="2068">
        <f>SUMIFS(P$5:P$71,$C$5:$C$71,$B101,$F$5:$F$71,$B$92)</f>
        <v/>
      </c>
      <c r="Q101" s="2068">
        <f>SUMIFS(Q$5:Q$71,$C$5:$C$71,$B101,$F$5:$F$71,$B$92)</f>
        <v/>
      </c>
      <c r="R101" s="2068">
        <f>SUMIFS(R$5:R$71,$C$5:$C$71,$B101,$F$5:$F$71,$B$92)</f>
        <v/>
      </c>
      <c r="S101" s="2068">
        <f>SUMIFS(S$5:S$71,$C$5:$C$71,$B101,$F$5:$F$71,$B$92)</f>
        <v/>
      </c>
      <c r="T101" s="2071">
        <f>SUM(N101:S101)</f>
        <v/>
      </c>
      <c r="U101" s="2071">
        <f>M101+T101</f>
        <v/>
      </c>
      <c r="V101" s="1938" t="n"/>
      <c r="X101" s="1938" t="n"/>
      <c r="Y101" s="1938" t="n"/>
      <c r="Z101" s="1938" t="n"/>
      <c r="AA101" s="1938" t="n"/>
      <c r="AB101" s="1938" t="n"/>
      <c r="AC101" s="1938" t="n"/>
      <c r="AD101" s="1974" t="n"/>
      <c r="AE101" s="1938" t="n"/>
      <c r="AF101" s="1938" t="n"/>
      <c r="AG101" s="1938" t="n"/>
      <c r="AH101" s="1938" t="n"/>
      <c r="AI101" s="1938" t="n"/>
      <c r="AJ101" s="1938" t="n"/>
      <c r="AK101" s="1938" t="n"/>
      <c r="AL101" s="1938" t="n"/>
      <c r="AM101" s="1938" t="n"/>
      <c r="AN101" s="1938" t="n"/>
      <c r="AO101" s="1938" t="n"/>
    </row>
    <row customHeight="1" ht="13.5" r="102" s="1843" spans="1:41">
      <c r="B102" s="2066">
        <f>B89</f>
        <v/>
      </c>
      <c r="C102" s="2067" t="n"/>
      <c r="D102" s="2075" t="n"/>
      <c r="E102" s="2067" t="n"/>
      <c r="F102" s="2069" t="n"/>
      <c r="G102" s="2068">
        <f>SUMIFS(G$5:G$71,$C$5:$C$71,$B102,$F$5:$F$71,$B$92)</f>
        <v/>
      </c>
      <c r="H102" s="2068">
        <f>SUMIFS(H$5:H$71,$C$5:$C$71,$B102,$F$5:$F$71,$B$92)</f>
        <v/>
      </c>
      <c r="I102" s="2068">
        <f>SUMIFS(I$5:I$71,$C$5:$C$71,$B102,$F$5:$F$71,$B$92)</f>
        <v/>
      </c>
      <c r="J102" s="2068">
        <f>SUMIFS(J$5:J$71,$C$5:$C$71,$B102,$F$5:$F$71,$B$92)</f>
        <v/>
      </c>
      <c r="K102" s="2068">
        <f>SUMIFS(K$5:K$71,$C$5:$C$71,$B102,$F$5:$F$71,$B$92)</f>
        <v/>
      </c>
      <c r="L102" s="2068">
        <f>SUMIFS(L$5:L$71,$C$5:$C$71,$B102,$F$5:$F$71,$B$92)</f>
        <v/>
      </c>
      <c r="M102" s="2071">
        <f>SUM(G102:L102)</f>
        <v/>
      </c>
      <c r="N102" s="2068">
        <f>SUMIFS(N$5:N$71,$C$5:$C$71,$B102,$F$5:$F$71,$B$92)</f>
        <v/>
      </c>
      <c r="O102" s="2068">
        <f>SUMIFS(O$5:O$71,$C$5:$C$71,$B102,$F$5:$F$71,$B$92)</f>
        <v/>
      </c>
      <c r="P102" s="2068">
        <f>SUMIFS(P$5:P$71,$C$5:$C$71,$B102,$F$5:$F$71,$B$92)</f>
        <v/>
      </c>
      <c r="Q102" s="2068">
        <f>SUMIFS(Q$5:Q$71,$C$5:$C$71,$B102,$F$5:$F$71,$B$92)</f>
        <v/>
      </c>
      <c r="R102" s="2068">
        <f>SUMIFS(R$5:R$71,$C$5:$C$71,$B102,$F$5:$F$71,$B$92)</f>
        <v/>
      </c>
      <c r="S102" s="2068">
        <f>SUMIFS(S$5:S$71,$C$5:$C$71,$B102,$F$5:$F$71,$B$92)</f>
        <v/>
      </c>
      <c r="T102" s="2071">
        <f>SUM(N102:S102)</f>
        <v/>
      </c>
      <c r="U102" s="2071">
        <f>M102+T102</f>
        <v/>
      </c>
      <c r="V102" s="1938" t="n"/>
      <c r="X102" s="1938" t="n"/>
      <c r="Y102" s="1938" t="n"/>
      <c r="Z102" s="1938" t="n"/>
      <c r="AA102" s="1938" t="n"/>
      <c r="AB102" s="1938" t="n"/>
      <c r="AC102" s="1938" t="n"/>
      <c r="AD102" s="1974" t="n"/>
      <c r="AE102" s="1938" t="n"/>
      <c r="AF102" s="1938" t="n"/>
      <c r="AG102" s="1938" t="n"/>
      <c r="AH102" s="1938" t="n"/>
      <c r="AI102" s="1938" t="n"/>
      <c r="AJ102" s="1938" t="n"/>
      <c r="AK102" s="1938" t="n"/>
      <c r="AL102" s="1938" t="n"/>
      <c r="AM102" s="1938" t="n"/>
      <c r="AN102" s="1938" t="n"/>
      <c r="AO102" s="1938" t="n"/>
    </row>
    <row customHeight="1" ht="13.5" r="103" s="1843" spans="1:41">
      <c r="B103" s="2066">
        <f>B90</f>
        <v/>
      </c>
      <c r="C103" s="2067" t="n"/>
      <c r="D103" s="2075" t="n"/>
      <c r="E103" s="2067" t="n"/>
      <c r="F103" s="2069" t="n"/>
      <c r="G103" s="2068">
        <f>SUMIFS(G$5:G$71,$C$5:$C$71,$B103,$F$5:$F$71,$B$92)</f>
        <v/>
      </c>
      <c r="H103" s="2068">
        <f>SUMIFS(H$5:H$71,$C$5:$C$71,$B103,$F$5:$F$71,$B$92)</f>
        <v/>
      </c>
      <c r="I103" s="2068">
        <f>SUMIFS(I$5:I$71,$C$5:$C$71,$B103,$F$5:$F$71,$B$92)</f>
        <v/>
      </c>
      <c r="J103" s="2068">
        <f>SUMIFS(J$5:J$71,$C$5:$C$71,$B103,$F$5:$F$71,$B$92)</f>
        <v/>
      </c>
      <c r="K103" s="2068">
        <f>SUMIFS(K$5:K$71,$C$5:$C$71,$B103,$F$5:$F$71,$B$92)</f>
        <v/>
      </c>
      <c r="L103" s="2068">
        <f>SUMIFS(L$5:L$71,$C$5:$C$71,$B103,$F$5:$F$71,$B$92)</f>
        <v/>
      </c>
      <c r="M103" s="2071">
        <f>SUM(G103:L103)</f>
        <v/>
      </c>
      <c r="N103" s="2068">
        <f>SUMIFS(N$5:N$71,$C$5:$C$71,$B103,$F$5:$F$71,$B$92)</f>
        <v/>
      </c>
      <c r="O103" s="2068">
        <f>SUMIFS(O$5:O$71,$C$5:$C$71,$B103,$F$5:$F$71,$B$92)</f>
        <v/>
      </c>
      <c r="P103" s="2068">
        <f>SUMIFS(P$5:P$71,$C$5:$C$71,$B103,$F$5:$F$71,$B$92)</f>
        <v/>
      </c>
      <c r="Q103" s="2068">
        <f>SUMIFS(Q$5:Q$71,$C$5:$C$71,$B103,$F$5:$F$71,$B$92)</f>
        <v/>
      </c>
      <c r="R103" s="2068">
        <f>SUMIFS(R$5:R$71,$C$5:$C$71,$B103,$F$5:$F$71,$B$92)</f>
        <v/>
      </c>
      <c r="S103" s="2068">
        <f>SUMIFS(S$5:S$71,$C$5:$C$71,$B103,$F$5:$F$71,$B$92)</f>
        <v/>
      </c>
      <c r="T103" s="2071">
        <f>SUM(N103:S103)</f>
        <v/>
      </c>
      <c r="U103" s="2071">
        <f>M103+T103</f>
        <v/>
      </c>
      <c r="V103" s="1938" t="n"/>
      <c r="X103" s="1938" t="n"/>
      <c r="Y103" s="1938" t="n"/>
      <c r="Z103" s="1938" t="n"/>
      <c r="AA103" s="1938" t="n"/>
      <c r="AB103" s="1938" t="n"/>
      <c r="AC103" s="1938" t="n"/>
      <c r="AD103" s="1974" t="n"/>
      <c r="AE103" s="1938" t="n"/>
      <c r="AF103" s="1938" t="n"/>
      <c r="AG103" s="1938" t="n"/>
      <c r="AH103" s="1938" t="n"/>
      <c r="AI103" s="1938" t="n"/>
      <c r="AJ103" s="1938" t="n"/>
      <c r="AK103" s="1938" t="n"/>
      <c r="AL103" s="1938" t="n"/>
      <c r="AM103" s="1938" t="n"/>
      <c r="AN103" s="1938" t="n"/>
      <c r="AO103" s="1938" t="n"/>
    </row>
    <row r="104" spans="1:41">
      <c r="L104" s="1941" t="n"/>
      <c r="M104" s="1941" t="n"/>
      <c r="N104" s="1941" t="n"/>
      <c r="AB104" s="1938" t="n"/>
      <c r="AC104" s="1938" t="n"/>
      <c r="AD104" s="1974" t="n"/>
      <c r="AE104" s="1974" t="n"/>
      <c r="AF104" s="1974" t="n"/>
      <c r="AG104" s="1938" t="n"/>
      <c r="AH104" s="1938" t="n"/>
      <c r="AI104" s="1938" t="n"/>
      <c r="AJ104" s="1938" t="n"/>
      <c r="AK104" s="1938" t="n"/>
      <c r="AL104" s="1938" t="n"/>
      <c r="AM104" s="1938" t="n"/>
      <c r="AN104" s="1938" t="n"/>
      <c r="AO104" s="1938" t="n"/>
    </row>
    <row r="105" spans="1:41">
      <c r="B105" s="2058" t="s">
        <v>88</v>
      </c>
      <c r="C105" s="2059" t="n"/>
      <c r="D105" s="2074" t="n"/>
      <c r="E105" s="2059" t="n"/>
      <c r="F105" s="2061" t="n"/>
      <c r="G105" s="2060">
        <f>SUM(G106:G116)</f>
        <v/>
      </c>
      <c r="H105" s="2060">
        <f>SUM(H106:H116)</f>
        <v/>
      </c>
      <c r="I105" s="2060">
        <f>SUM(I106:I116)</f>
        <v/>
      </c>
      <c r="J105" s="2060">
        <f>SUM(J106:J116)</f>
        <v/>
      </c>
      <c r="K105" s="2060">
        <f>SUM(K106:K116)</f>
        <v/>
      </c>
      <c r="L105" s="2060">
        <f>SUM(L106:L116)</f>
        <v/>
      </c>
      <c r="M105" s="2062">
        <f>SUM(M106:M116)</f>
        <v/>
      </c>
      <c r="N105" s="2060">
        <f>SUM(N106:N116)</f>
        <v/>
      </c>
      <c r="O105" s="2060">
        <f>SUM(O106:O116)</f>
        <v/>
      </c>
      <c r="P105" s="2060">
        <f>SUM(P106:P116)</f>
        <v/>
      </c>
      <c r="Q105" s="2060">
        <f>SUM(Q106:Q116)</f>
        <v/>
      </c>
      <c r="R105" s="2060">
        <f>SUM(R106:R116)</f>
        <v/>
      </c>
      <c r="S105" s="2060">
        <f>SUM(S106:S116)</f>
        <v/>
      </c>
      <c r="T105" s="2062">
        <f>SUM(T106:T116)</f>
        <v/>
      </c>
      <c r="U105" s="2062">
        <f>SUM(U106:U116)</f>
        <v/>
      </c>
      <c r="V105" s="1938" t="n"/>
      <c r="X105" s="1938" t="n"/>
      <c r="Y105" s="1938" t="n"/>
      <c r="Z105" s="1938" t="n"/>
      <c r="AA105" s="1938" t="n"/>
      <c r="AD105" s="1974" t="n"/>
      <c r="AO105" s="1938" t="n"/>
    </row>
    <row customHeight="1" ht="13.5" r="106" s="1843" spans="1:41">
      <c r="B106" s="2076">
        <f>B80</f>
        <v/>
      </c>
      <c r="C106" s="2067" t="n"/>
      <c r="D106" s="2075" t="n"/>
      <c r="E106" s="2067" t="n"/>
      <c r="F106" s="2069" t="n"/>
      <c r="G106" s="2068">
        <f>SUMIFS(G$5:G$71,$C$5:$C$71,$B106,$F$5:$F$71,$B$105)</f>
        <v/>
      </c>
      <c r="H106" s="2068">
        <f>SUMIFS(H$5:H$71,$C$5:$C$71,$B106,$F$5:$F$71,$B$105)</f>
        <v/>
      </c>
      <c r="I106" s="2068">
        <f>SUMIFS(I$5:I$71,$C$5:$C$71,$B106,$F$5:$F$71,$B$105)</f>
        <v/>
      </c>
      <c r="J106" s="2068">
        <f>SUMIFS(J$5:J$71,$C$5:$C$71,$B106,$F$5:$F$71,$B$105)</f>
        <v/>
      </c>
      <c r="K106" s="2068">
        <f>SUMIFS(K$5:K$71,$C$5:$C$71,$B106,$F$5:$F$71,$B$105)</f>
        <v/>
      </c>
      <c r="L106" s="2068">
        <f>SUMIFS(L$5:L$71,$C$5:$C$71,$B106,$F$5:$F$71,$B$105)</f>
        <v/>
      </c>
      <c r="M106" s="2071">
        <f>SUM(G106:L106)</f>
        <v/>
      </c>
      <c r="N106" s="2068">
        <f>SUMIFS(N$5:N$71,$C$5:$C$71,$B106,$F$5:$F$71,$B$105)</f>
        <v/>
      </c>
      <c r="O106" s="2068">
        <f>SUMIFS(O$5:O$71,$C$5:$C$71,$B106,$F$5:$F$71,$B$105)</f>
        <v/>
      </c>
      <c r="P106" s="2068">
        <f>SUMIFS(P$5:P$71,$C$5:$C$71,$B106,$F$5:$F$71,$B$105)</f>
        <v/>
      </c>
      <c r="Q106" s="2068">
        <f>SUMIFS(Q$5:Q$71,$C$5:$C$71,$B106,$F$5:$F$71,$B$105)</f>
        <v/>
      </c>
      <c r="R106" s="2068">
        <f>SUMIFS(R$5:R$71,$C$5:$C$71,$B106,$F$5:$F$71,$B$105)</f>
        <v/>
      </c>
      <c r="S106" s="2068">
        <f>SUMIFS(S$5:S$71,$C$5:$C$71,$B106,$F$5:$F$71,$B$105)</f>
        <v/>
      </c>
      <c r="T106" s="2071">
        <f>SUM(N106:S106)</f>
        <v/>
      </c>
      <c r="U106" s="2071">
        <f>M106+T106</f>
        <v/>
      </c>
      <c r="V106" s="1938" t="n"/>
      <c r="X106" s="1938" t="n"/>
      <c r="Y106" s="1938" t="n"/>
      <c r="Z106" s="1938" t="n"/>
      <c r="AA106" s="1938" t="n"/>
      <c r="AD106" s="1974" t="n"/>
      <c r="AO106" s="1938" t="n"/>
    </row>
    <row customHeight="1" ht="13.5" r="107" s="1843" spans="1:41">
      <c r="B107" s="2076">
        <f>B81</f>
        <v/>
      </c>
      <c r="C107" s="2067" t="n"/>
      <c r="D107" s="2075" t="n"/>
      <c r="E107" s="2067" t="n"/>
      <c r="F107" s="2069" t="n"/>
      <c r="G107" s="2068">
        <f>SUMIFS(G$5:G$71,$C$5:$C$71,$B107,$F$5:$F$71,$B$105)</f>
        <v/>
      </c>
      <c r="H107" s="2068">
        <f>SUMIFS(H$5:H$71,$C$5:$C$71,$B107,$F$5:$F$71,$B$105)</f>
        <v/>
      </c>
      <c r="I107" s="2068">
        <f>SUMIFS(I$5:I$71,$C$5:$C$71,$B107,$F$5:$F$71,$B$105)</f>
        <v/>
      </c>
      <c r="J107" s="2068">
        <f>SUMIFS(J$5:J$71,$C$5:$C$71,$B107,$F$5:$F$71,$B$105)</f>
        <v/>
      </c>
      <c r="K107" s="2068">
        <f>SUMIFS(K$5:K$71,$C$5:$C$71,$B107,$F$5:$F$71,$B$105)</f>
        <v/>
      </c>
      <c r="L107" s="2068">
        <f>SUMIFS(L$5:L$71,$C$5:$C$71,$B107,$F$5:$F$71,$B$105)</f>
        <v/>
      </c>
      <c r="M107" s="2071">
        <f>SUM(G107:L107)</f>
        <v/>
      </c>
      <c r="N107" s="2068">
        <f>SUMIFS(N$5:N$71,$C$5:$C$71,$B107,$F$5:$F$71,$B$105)</f>
        <v/>
      </c>
      <c r="O107" s="2068">
        <f>SUMIFS(O$5:O$71,$C$5:$C$71,$B107,$F$5:$F$71,$B$105)</f>
        <v/>
      </c>
      <c r="P107" s="2068">
        <f>SUMIFS(P$5:P$71,$C$5:$C$71,$B107,$F$5:$F$71,$B$105)</f>
        <v/>
      </c>
      <c r="Q107" s="2068">
        <f>SUMIFS(Q$5:Q$71,$C$5:$C$71,$B107,$F$5:$F$71,$B$105)</f>
        <v/>
      </c>
      <c r="R107" s="2068">
        <f>SUMIFS(R$5:R$71,$C$5:$C$71,$B107,$F$5:$F$71,$B$105)</f>
        <v/>
      </c>
      <c r="S107" s="2068">
        <f>SUMIFS(S$5:S$71,$C$5:$C$71,$B107,$F$5:$F$71,$B$105)</f>
        <v/>
      </c>
      <c r="T107" s="2071">
        <f>SUM(N107:S107)</f>
        <v/>
      </c>
      <c r="U107" s="2071">
        <f>M107+T107</f>
        <v/>
      </c>
      <c r="V107" s="1938" t="n"/>
      <c r="X107" s="1938" t="n"/>
      <c r="Y107" s="1938" t="n"/>
      <c r="Z107" s="1938" t="n"/>
      <c r="AA107" s="1938" t="n"/>
      <c r="AD107" s="1974" t="n"/>
      <c r="AO107" s="1938" t="n"/>
    </row>
    <row customHeight="1" ht="13.5" r="108" s="1843" spans="1:41">
      <c r="B108" s="2076">
        <f>B82</f>
        <v/>
      </c>
      <c r="C108" s="2067" t="n"/>
      <c r="D108" s="2075" t="n"/>
      <c r="E108" s="2067" t="n"/>
      <c r="F108" s="2069" t="n"/>
      <c r="G108" s="2068">
        <f>SUMIFS(G$5:G$71,$C$5:$C$71,$B108,$F$5:$F$71,$B$105)</f>
        <v/>
      </c>
      <c r="H108" s="2068">
        <f>SUMIFS(H$5:H$71,$C$5:$C$71,$B108,$F$5:$F$71,$B$105)</f>
        <v/>
      </c>
      <c r="I108" s="2068">
        <f>SUMIFS(I$5:I$71,$C$5:$C$71,$B108,$F$5:$F$71,$B$105)</f>
        <v/>
      </c>
      <c r="J108" s="2068">
        <f>SUMIFS(J$5:J$71,$C$5:$C$71,$B108,$F$5:$F$71,$B$105)</f>
        <v/>
      </c>
      <c r="K108" s="2068">
        <f>SUMIFS(K$5:K$71,$C$5:$C$71,$B108,$F$5:$F$71,$B$105)</f>
        <v/>
      </c>
      <c r="L108" s="2068">
        <f>SUMIFS(L$5:L$71,$C$5:$C$71,$B108,$F$5:$F$71,$B$105)</f>
        <v/>
      </c>
      <c r="M108" s="2071">
        <f>SUM(G108:L108)</f>
        <v/>
      </c>
      <c r="N108" s="2068">
        <f>SUMIFS(N$5:N$71,$C$5:$C$71,$B108,$F$5:$F$71,$B$105)</f>
        <v/>
      </c>
      <c r="O108" s="2068">
        <f>SUMIFS(O$5:O$71,$C$5:$C$71,$B108,$F$5:$F$71,$B$105)</f>
        <v/>
      </c>
      <c r="P108" s="2068">
        <f>SUMIFS(P$5:P$71,$C$5:$C$71,$B108,$F$5:$F$71,$B$105)</f>
        <v/>
      </c>
      <c r="Q108" s="2068">
        <f>SUMIFS(Q$5:Q$71,$C$5:$C$71,$B108,$F$5:$F$71,$B$105)</f>
        <v/>
      </c>
      <c r="R108" s="2068">
        <f>SUMIFS(R$5:R$71,$C$5:$C$71,$B108,$F$5:$F$71,$B$105)</f>
        <v/>
      </c>
      <c r="S108" s="2068">
        <f>SUMIFS(S$5:S$71,$C$5:$C$71,$B108,$F$5:$F$71,$B$105)</f>
        <v/>
      </c>
      <c r="T108" s="2071">
        <f>SUM(N108:S108)</f>
        <v/>
      </c>
      <c r="U108" s="2071">
        <f>M108+T108</f>
        <v/>
      </c>
      <c r="V108" s="1938" t="n"/>
      <c r="X108" s="1938" t="n"/>
      <c r="Y108" s="1938" t="n"/>
      <c r="Z108" s="1938" t="n"/>
      <c r="AA108" s="1938" t="n"/>
      <c r="AD108" s="1974" t="n"/>
      <c r="AO108" s="1938" t="n"/>
    </row>
    <row customHeight="1" ht="13.5" r="109" s="1843" spans="1:41">
      <c r="B109" s="2076">
        <f>B83</f>
        <v/>
      </c>
      <c r="C109" s="2067" t="n"/>
      <c r="D109" s="2075" t="n"/>
      <c r="E109" s="2067" t="n"/>
      <c r="F109" s="2069" t="n"/>
      <c r="G109" s="2068">
        <f>SUMIFS(G$5:G$71,$C$5:$C$71,$B109,$F$5:$F$71,$B$105)</f>
        <v/>
      </c>
      <c r="H109" s="2068">
        <f>SUMIFS(H$5:H$71,$C$5:$C$71,$B109,$F$5:$F$71,$B$105)</f>
        <v/>
      </c>
      <c r="I109" s="2068">
        <f>SUMIFS(I$5:I$71,$C$5:$C$71,$B109,$F$5:$F$71,$B$105)</f>
        <v/>
      </c>
      <c r="J109" s="2068">
        <f>SUMIFS(J$5:J$71,$C$5:$C$71,$B109,$F$5:$F$71,$B$105)</f>
        <v/>
      </c>
      <c r="K109" s="2068">
        <f>SUMIFS(K$5:K$71,$C$5:$C$71,$B109,$F$5:$F$71,$B$105)</f>
        <v/>
      </c>
      <c r="L109" s="2068">
        <f>SUMIFS(L$5:L$71,$C$5:$C$71,$B109,$F$5:$F$71,$B$105)</f>
        <v/>
      </c>
      <c r="M109" s="2071">
        <f>SUM(G109:L109)</f>
        <v/>
      </c>
      <c r="N109" s="2068">
        <f>SUMIFS(N$5:N$71,$C$5:$C$71,$B109,$F$5:$F$71,$B$105)</f>
        <v/>
      </c>
      <c r="O109" s="2068">
        <f>SUMIFS(O$5:O$71,$C$5:$C$71,$B109,$F$5:$F$71,$B$105)</f>
        <v/>
      </c>
      <c r="P109" s="2068">
        <f>SUMIFS(P$5:P$71,$C$5:$C$71,$B109,$F$5:$F$71,$B$105)</f>
        <v/>
      </c>
      <c r="Q109" s="2068">
        <f>SUMIFS(Q$5:Q$71,$C$5:$C$71,$B109,$F$5:$F$71,$B$105)</f>
        <v/>
      </c>
      <c r="R109" s="2068">
        <f>SUMIFS(R$5:R$71,$C$5:$C$71,$B109,$F$5:$F$71,$B$105)</f>
        <v/>
      </c>
      <c r="S109" s="2068">
        <f>SUMIFS(S$5:S$71,$C$5:$C$71,$B109,$F$5:$F$71,$B$105)</f>
        <v/>
      </c>
      <c r="T109" s="2071">
        <f>SUM(N109:S109)</f>
        <v/>
      </c>
      <c r="U109" s="2071">
        <f>M109+T109</f>
        <v/>
      </c>
      <c r="V109" s="1938" t="n"/>
      <c r="X109" s="1938" t="n"/>
      <c r="Y109" s="1938" t="n"/>
      <c r="Z109" s="1938" t="n"/>
      <c r="AA109" s="1938" t="n"/>
      <c r="AD109" s="1974" t="n"/>
      <c r="AO109" s="1938" t="n"/>
    </row>
    <row customHeight="1" ht="13.5" r="110" s="1843" spans="1:41">
      <c r="B110" s="2076">
        <f>B84</f>
        <v/>
      </c>
      <c r="C110" s="2067" t="n"/>
      <c r="D110" s="2075" t="n"/>
      <c r="E110" s="2067" t="n"/>
      <c r="F110" s="2069" t="n"/>
      <c r="G110" s="2068">
        <f>SUMIFS(G$5:G$71,$C$5:$C$71,$B110,$F$5:$F$71,$B$105)</f>
        <v/>
      </c>
      <c r="H110" s="2068">
        <f>SUMIFS(H$5:H$71,$C$5:$C$71,$B110,$F$5:$F$71,$B$105)</f>
        <v/>
      </c>
      <c r="I110" s="2068">
        <f>SUMIFS(I$5:I$71,$C$5:$C$71,$B110,$F$5:$F$71,$B$105)</f>
        <v/>
      </c>
      <c r="J110" s="2068">
        <f>SUMIFS(J$5:J$71,$C$5:$C$71,$B110,$F$5:$F$71,$B$105)</f>
        <v/>
      </c>
      <c r="K110" s="2068">
        <f>SUMIFS(K$5:K$71,$C$5:$C$71,$B110,$F$5:$F$71,$B$105)</f>
        <v/>
      </c>
      <c r="L110" s="2068">
        <f>SUMIFS(L$5:L$71,$C$5:$C$71,$B110,$F$5:$F$71,$B$105)</f>
        <v/>
      </c>
      <c r="M110" s="2071">
        <f>SUM(G110:L110)</f>
        <v/>
      </c>
      <c r="N110" s="2068">
        <f>SUMIFS(N$5:N$71,$C$5:$C$71,$B110,$F$5:$F$71,$B$105)</f>
        <v/>
      </c>
      <c r="O110" s="2068">
        <f>SUMIFS(O$5:O$71,$C$5:$C$71,$B110,$F$5:$F$71,$B$105)</f>
        <v/>
      </c>
      <c r="P110" s="2068">
        <f>SUMIFS(P$5:P$71,$C$5:$C$71,$B110,$F$5:$F$71,$B$105)</f>
        <v/>
      </c>
      <c r="Q110" s="2068">
        <f>SUMIFS(Q$5:Q$71,$C$5:$C$71,$B110,$F$5:$F$71,$B$105)</f>
        <v/>
      </c>
      <c r="R110" s="2068">
        <f>SUMIFS(R$5:R$71,$C$5:$C$71,$B110,$F$5:$F$71,$B$105)</f>
        <v/>
      </c>
      <c r="S110" s="2068">
        <f>SUMIFS(S$5:S$71,$C$5:$C$71,$B110,$F$5:$F$71,$B$105)</f>
        <v/>
      </c>
      <c r="T110" s="2071">
        <f>SUM(N110:S110)</f>
        <v/>
      </c>
      <c r="U110" s="2071">
        <f>M110+T110</f>
        <v/>
      </c>
      <c r="V110" s="1938" t="n"/>
      <c r="X110" s="1938" t="n"/>
      <c r="Y110" s="1938" t="n"/>
      <c r="Z110" s="1938" t="n"/>
      <c r="AA110" s="1938" t="n"/>
      <c r="AD110" s="1974" t="n"/>
      <c r="AO110" s="1938" t="n"/>
    </row>
    <row customHeight="1" ht="13.5" r="111" s="1843" spans="1:41">
      <c r="B111" s="2076">
        <f>B85</f>
        <v/>
      </c>
      <c r="C111" s="2067" t="n"/>
      <c r="D111" s="2075" t="n"/>
      <c r="E111" s="2067" t="n"/>
      <c r="F111" s="2069" t="n"/>
      <c r="G111" s="2068">
        <f>SUMIFS(G$5:G$71,$C$5:$C$71,$B111,$F$5:$F$71,$B$105)</f>
        <v/>
      </c>
      <c r="H111" s="2068">
        <f>SUMIFS(H$5:H$71,$C$5:$C$71,$B111,$F$5:$F$71,$B$105)</f>
        <v/>
      </c>
      <c r="I111" s="2068">
        <f>SUMIFS(I$5:I$71,$C$5:$C$71,$B111,$F$5:$F$71,$B$105)</f>
        <v/>
      </c>
      <c r="J111" s="2068">
        <f>SUMIFS(J$5:J$71,$C$5:$C$71,$B111,$F$5:$F$71,$B$105)</f>
        <v/>
      </c>
      <c r="K111" s="2068">
        <f>SUMIFS(K$5:K$71,$C$5:$C$71,$B111,$F$5:$F$71,$B$105)</f>
        <v/>
      </c>
      <c r="L111" s="2068">
        <f>SUMIFS(L$5:L$71,$C$5:$C$71,$B111,$F$5:$F$71,$B$105)</f>
        <v/>
      </c>
      <c r="M111" s="2071">
        <f>SUM(G111:L111)</f>
        <v/>
      </c>
      <c r="N111" s="2068">
        <f>SUMIFS(N$5:N$71,$C$5:$C$71,$B111,$F$5:$F$71,$B$105)</f>
        <v/>
      </c>
      <c r="O111" s="2068">
        <f>SUMIFS(O$5:O$71,$C$5:$C$71,$B111,$F$5:$F$71,$B$105)</f>
        <v/>
      </c>
      <c r="P111" s="2068">
        <f>SUMIFS(P$5:P$71,$C$5:$C$71,$B111,$F$5:$F$71,$B$105)</f>
        <v/>
      </c>
      <c r="Q111" s="2068">
        <f>SUMIFS(Q$5:Q$71,$C$5:$C$71,$B111,$F$5:$F$71,$B$105)</f>
        <v/>
      </c>
      <c r="R111" s="2068">
        <f>SUMIFS(R$5:R$71,$C$5:$C$71,$B111,$F$5:$F$71,$B$105)</f>
        <v/>
      </c>
      <c r="S111" s="2068">
        <f>SUMIFS(S$5:S$71,$C$5:$C$71,$B111,$F$5:$F$71,$B$105)</f>
        <v/>
      </c>
      <c r="T111" s="2071">
        <f>SUM(N111:S111)</f>
        <v/>
      </c>
      <c r="U111" s="2071">
        <f>M111+T111</f>
        <v/>
      </c>
      <c r="V111" s="1938" t="n"/>
      <c r="X111" s="1938" t="n"/>
      <c r="Y111" s="1938" t="n"/>
      <c r="Z111" s="1938" t="n"/>
      <c r="AA111" s="1938" t="n"/>
      <c r="AD111" s="1974" t="n"/>
      <c r="AO111" s="1938" t="n"/>
    </row>
    <row customHeight="1" ht="13.5" r="112" s="1843" spans="1:41">
      <c r="B112" s="2076">
        <f>B86</f>
        <v/>
      </c>
      <c r="C112" s="2067" t="n"/>
      <c r="D112" s="2075" t="n"/>
      <c r="E112" s="2067" t="n"/>
      <c r="F112" s="2069" t="n"/>
      <c r="G112" s="2068">
        <f>SUMIFS(G$5:G$71,$C$5:$C$71,$B112,$F$5:$F$71,$B$105)</f>
        <v/>
      </c>
      <c r="H112" s="2068">
        <f>SUMIFS(H$5:H$71,$C$5:$C$71,$B112,$F$5:$F$71,$B$105)</f>
        <v/>
      </c>
      <c r="I112" s="2068">
        <f>SUMIFS(I$5:I$71,$C$5:$C$71,$B112,$F$5:$F$71,$B$105)</f>
        <v/>
      </c>
      <c r="J112" s="2068">
        <f>SUMIFS(J$5:J$71,$C$5:$C$71,$B112,$F$5:$F$71,$B$105)</f>
        <v/>
      </c>
      <c r="K112" s="2068">
        <f>SUMIFS(K$5:K$71,$C$5:$C$71,$B112,$F$5:$F$71,$B$105)</f>
        <v/>
      </c>
      <c r="L112" s="2068">
        <f>SUMIFS(L$5:L$71,$C$5:$C$71,$B112,$F$5:$F$71,$B$105)</f>
        <v/>
      </c>
      <c r="M112" s="2071">
        <f>SUM(G112:L112)</f>
        <v/>
      </c>
      <c r="N112" s="2068">
        <f>SUMIFS(N$5:N$71,$C$5:$C$71,$B112,$F$5:$F$71,$B$105)</f>
        <v/>
      </c>
      <c r="O112" s="2068">
        <f>SUMIFS(O$5:O$71,$C$5:$C$71,$B112,$F$5:$F$71,$B$105)</f>
        <v/>
      </c>
      <c r="P112" s="2068">
        <f>SUMIFS(P$5:P$71,$C$5:$C$71,$B112,$F$5:$F$71,$B$105)</f>
        <v/>
      </c>
      <c r="Q112" s="2068">
        <f>SUMIFS(Q$5:Q$71,$C$5:$C$71,$B112,$F$5:$F$71,$B$105)</f>
        <v/>
      </c>
      <c r="R112" s="2068">
        <f>SUMIFS(R$5:R$71,$C$5:$C$71,$B112,$F$5:$F$71,$B$105)</f>
        <v/>
      </c>
      <c r="S112" s="2068">
        <f>SUMIFS(S$5:S$71,$C$5:$C$71,$B112,$F$5:$F$71,$B$105)</f>
        <v/>
      </c>
      <c r="T112" s="2071">
        <f>SUM(N112:S112)</f>
        <v/>
      </c>
      <c r="U112" s="2071">
        <f>M112+T112</f>
        <v/>
      </c>
      <c r="V112" s="1938" t="n"/>
      <c r="X112" s="1938" t="n"/>
      <c r="Y112" s="1938" t="n"/>
      <c r="Z112" s="1938" t="n"/>
      <c r="AA112" s="1938" t="n"/>
      <c r="AD112" s="1974" t="n"/>
      <c r="AO112" s="1938" t="n"/>
    </row>
    <row customHeight="1" ht="13.5" r="113" s="1843" spans="1:41">
      <c r="B113" s="2076">
        <f>B87</f>
        <v/>
      </c>
      <c r="C113" s="2067" t="n"/>
      <c r="D113" s="2075" t="n"/>
      <c r="E113" s="2067" t="n"/>
      <c r="F113" s="2069" t="n"/>
      <c r="G113" s="2068">
        <f>SUMIFS(G$5:G$71,$C$5:$C$71,$B113,$F$5:$F$71,$B$105)</f>
        <v/>
      </c>
      <c r="H113" s="2068">
        <f>SUMIFS(H$5:H$71,$C$5:$C$71,$B113,$F$5:$F$71,$B$105)</f>
        <v/>
      </c>
      <c r="I113" s="2068">
        <f>SUMIFS(I$5:I$71,$C$5:$C$71,$B113,$F$5:$F$71,$B$105)</f>
        <v/>
      </c>
      <c r="J113" s="2068">
        <f>SUMIFS(J$5:J$71,$C$5:$C$71,$B113,$F$5:$F$71,$B$105)</f>
        <v/>
      </c>
      <c r="K113" s="2068">
        <f>SUMIFS(K$5:K$71,$C$5:$C$71,$B113,$F$5:$F$71,$B$105)</f>
        <v/>
      </c>
      <c r="L113" s="2068">
        <f>SUMIFS(L$5:L$71,$C$5:$C$71,$B113,$F$5:$F$71,$B$105)</f>
        <v/>
      </c>
      <c r="M113" s="2071">
        <f>SUM(G113:L113)</f>
        <v/>
      </c>
      <c r="N113" s="2068">
        <f>SUMIFS(N$5:N$71,$C$5:$C$71,$B113,$F$5:$F$71,$B$105)</f>
        <v/>
      </c>
      <c r="O113" s="2068">
        <f>SUMIFS(O$5:O$71,$C$5:$C$71,$B113,$F$5:$F$71,$B$105)</f>
        <v/>
      </c>
      <c r="P113" s="2068">
        <f>SUMIFS(P$5:P$71,$C$5:$C$71,$B113,$F$5:$F$71,$B$105)</f>
        <v/>
      </c>
      <c r="Q113" s="2068">
        <f>SUMIFS(Q$5:Q$71,$C$5:$C$71,$B113,$F$5:$F$71,$B$105)</f>
        <v/>
      </c>
      <c r="R113" s="2068">
        <f>SUMIFS(R$5:R$71,$C$5:$C$71,$B113,$F$5:$F$71,$B$105)</f>
        <v/>
      </c>
      <c r="S113" s="2068">
        <f>SUMIFS(S$5:S$71,$C$5:$C$71,$B113,$F$5:$F$71,$B$105)</f>
        <v/>
      </c>
      <c r="T113" s="2071">
        <f>SUM(N113:S113)</f>
        <v/>
      </c>
      <c r="U113" s="2071">
        <f>M113+T113</f>
        <v/>
      </c>
      <c r="V113" s="1938" t="n"/>
      <c r="X113" s="1938" t="n"/>
      <c r="Y113" s="1938" t="n"/>
      <c r="Z113" s="1938" t="n"/>
      <c r="AA113" s="1938" t="n"/>
      <c r="AD113" s="1974" t="n"/>
      <c r="AO113" s="1938" t="n"/>
    </row>
    <row customHeight="1" ht="13.5" r="114" s="1843" spans="1:41">
      <c r="B114" s="2076">
        <f>B88</f>
        <v/>
      </c>
      <c r="C114" s="2067" t="n"/>
      <c r="D114" s="2075" t="n"/>
      <c r="E114" s="2067" t="n"/>
      <c r="F114" s="2069" t="n"/>
      <c r="G114" s="2068">
        <f>SUMIFS(G$5:G$71,$C$5:$C$71,$B114,$F$5:$F$71,$B$105)</f>
        <v/>
      </c>
      <c r="H114" s="2068">
        <f>SUMIFS(H$5:H$71,$C$5:$C$71,$B114,$F$5:$F$71,$B$105)</f>
        <v/>
      </c>
      <c r="I114" s="2068">
        <f>SUMIFS(I$5:I$71,$C$5:$C$71,$B114,$F$5:$F$71,$B$105)</f>
        <v/>
      </c>
      <c r="J114" s="2068">
        <f>SUMIFS(J$5:J$71,$C$5:$C$71,$B114,$F$5:$F$71,$B$105)</f>
        <v/>
      </c>
      <c r="K114" s="2068">
        <f>SUMIFS(K$5:K$71,$C$5:$C$71,$B114,$F$5:$F$71,$B$105)</f>
        <v/>
      </c>
      <c r="L114" s="2068">
        <f>SUMIFS(L$5:L$71,$C$5:$C$71,$B114,$F$5:$F$71,$B$105)</f>
        <v/>
      </c>
      <c r="M114" s="2071">
        <f>SUM(G114:L114)</f>
        <v/>
      </c>
      <c r="N114" s="2068">
        <f>SUMIFS(N$5:N$71,$C$5:$C$71,$B114,$F$5:$F$71,$B$105)</f>
        <v/>
      </c>
      <c r="O114" s="2068">
        <f>SUMIFS(O$5:O$71,$C$5:$C$71,$B114,$F$5:$F$71,$B$105)</f>
        <v/>
      </c>
      <c r="P114" s="2068">
        <f>SUMIFS(P$5:P$71,$C$5:$C$71,$B114,$F$5:$F$71,$B$105)</f>
        <v/>
      </c>
      <c r="Q114" s="2068">
        <f>SUMIFS(Q$5:Q$71,$C$5:$C$71,$B114,$F$5:$F$71,$B$105)</f>
        <v/>
      </c>
      <c r="R114" s="2068">
        <f>SUMIFS(R$5:R$71,$C$5:$C$71,$B114,$F$5:$F$71,$B$105)</f>
        <v/>
      </c>
      <c r="S114" s="2068">
        <f>SUMIFS(S$5:S$71,$C$5:$C$71,$B114,$F$5:$F$71,$B$105)</f>
        <v/>
      </c>
      <c r="T114" s="2071">
        <f>SUM(N114:S114)</f>
        <v/>
      </c>
      <c r="U114" s="2071">
        <f>M114+T114</f>
        <v/>
      </c>
      <c r="V114" s="1938" t="n"/>
      <c r="X114" s="1938" t="n"/>
      <c r="Y114" s="1938" t="n"/>
      <c r="Z114" s="1938" t="n"/>
      <c r="AA114" s="1938" t="n"/>
      <c r="AD114" s="1974" t="n"/>
      <c r="AO114" s="1938" t="n"/>
    </row>
    <row customHeight="1" ht="13.5" r="115" s="1843" spans="1:41">
      <c r="B115" s="2076">
        <f>B89</f>
        <v/>
      </c>
      <c r="C115" s="2067" t="n"/>
      <c r="D115" s="2075" t="n"/>
      <c r="E115" s="2067" t="n"/>
      <c r="F115" s="2069" t="n"/>
      <c r="G115" s="2068">
        <f>SUMIFS(G$5:G$71,$C$5:$C$71,$B115,$F$5:$F$71,$B$105)</f>
        <v/>
      </c>
      <c r="H115" s="2068">
        <f>SUMIFS(H$5:H$71,$C$5:$C$71,$B115,$F$5:$F$71,$B$105)</f>
        <v/>
      </c>
      <c r="I115" s="2068">
        <f>SUMIFS(I$5:I$71,$C$5:$C$71,$B115,$F$5:$F$71,$B$105)</f>
        <v/>
      </c>
      <c r="J115" s="2068">
        <f>SUMIFS(J$5:J$71,$C$5:$C$71,$B115,$F$5:$F$71,$B$105)</f>
        <v/>
      </c>
      <c r="K115" s="2068">
        <f>SUMIFS(K$5:K$71,$C$5:$C$71,$B115,$F$5:$F$71,$B$105)</f>
        <v/>
      </c>
      <c r="L115" s="2068">
        <f>SUMIFS(L$5:L$71,$C$5:$C$71,$B115,$F$5:$F$71,$B$105)</f>
        <v/>
      </c>
      <c r="M115" s="2071">
        <f>SUM(G115:L115)</f>
        <v/>
      </c>
      <c r="N115" s="2068">
        <f>SUMIFS(N$5:N$71,$C$5:$C$71,$B115,$F$5:$F$71,$B$105)</f>
        <v/>
      </c>
      <c r="O115" s="2068">
        <f>SUMIFS(O$5:O$71,$C$5:$C$71,$B115,$F$5:$F$71,$B$105)</f>
        <v/>
      </c>
      <c r="P115" s="2068">
        <f>SUMIFS(P$5:P$71,$C$5:$C$71,$B115,$F$5:$F$71,$B$105)</f>
        <v/>
      </c>
      <c r="Q115" s="2068">
        <f>SUMIFS(Q$5:Q$71,$C$5:$C$71,$B115,$F$5:$F$71,$B$105)</f>
        <v/>
      </c>
      <c r="R115" s="2068">
        <f>SUMIFS(R$5:R$71,$C$5:$C$71,$B115,$F$5:$F$71,$B$105)</f>
        <v/>
      </c>
      <c r="S115" s="2068">
        <f>SUMIFS(S$5:S$71,$C$5:$C$71,$B115,$F$5:$F$71,$B$105)</f>
        <v/>
      </c>
      <c r="T115" s="2071">
        <f>SUM(N115:S115)</f>
        <v/>
      </c>
      <c r="U115" s="2071">
        <f>M115+T115</f>
        <v/>
      </c>
      <c r="V115" s="1938" t="n"/>
      <c r="X115" s="1938" t="n"/>
      <c r="Y115" s="1938" t="n"/>
      <c r="Z115" s="1938" t="n"/>
      <c r="AA115" s="1938" t="n"/>
      <c r="AD115" s="1974" t="n"/>
      <c r="AO115" s="1938" t="n"/>
    </row>
    <row customHeight="1" ht="13.5" r="116" s="1843" spans="1:41">
      <c r="B116" s="2076">
        <f>B90</f>
        <v/>
      </c>
      <c r="C116" s="2067" t="n"/>
      <c r="D116" s="2075" t="n"/>
      <c r="E116" s="2067" t="n"/>
      <c r="F116" s="2069" t="n"/>
      <c r="G116" s="2068">
        <f>SUMIFS(G$5:G$71,$C$5:$C$71,$B116,$F$5:$F$71,$B$105)</f>
        <v/>
      </c>
      <c r="H116" s="2068">
        <f>SUMIFS(H$5:H$71,$C$5:$C$71,$B116,$F$5:$F$71,$B$105)</f>
        <v/>
      </c>
      <c r="I116" s="2068">
        <f>SUMIFS(I$5:I$71,$C$5:$C$71,$B116,$F$5:$F$71,$B$105)</f>
        <v/>
      </c>
      <c r="J116" s="2068">
        <f>SUMIFS(J$5:J$71,$C$5:$C$71,$B116,$F$5:$F$71,$B$105)</f>
        <v/>
      </c>
      <c r="K116" s="2068">
        <f>SUMIFS(K$5:K$71,$C$5:$C$71,$B116,$F$5:$F$71,$B$105)</f>
        <v/>
      </c>
      <c r="L116" s="2068">
        <f>SUMIFS(L$5:L$71,$C$5:$C$71,$B116,$F$5:$F$71,$B$105)</f>
        <v/>
      </c>
      <c r="M116" s="2071">
        <f>SUM(G116:L116)</f>
        <v/>
      </c>
      <c r="N116" s="2068">
        <f>SUMIFS(N$5:N$71,$C$5:$C$71,$B116,$F$5:$F$71,$B$105)</f>
        <v/>
      </c>
      <c r="O116" s="2068">
        <f>SUMIFS(O$5:O$71,$C$5:$C$71,$B116,$F$5:$F$71,$B$105)</f>
        <v/>
      </c>
      <c r="P116" s="2068">
        <f>SUMIFS(P$5:P$71,$C$5:$C$71,$B116,$F$5:$F$71,$B$105)</f>
        <v/>
      </c>
      <c r="Q116" s="2068">
        <f>SUMIFS(Q$5:Q$71,$C$5:$C$71,$B116,$F$5:$F$71,$B$105)</f>
        <v/>
      </c>
      <c r="R116" s="2068">
        <f>SUMIFS(R$5:R$71,$C$5:$C$71,$B116,$F$5:$F$71,$B$105)</f>
        <v/>
      </c>
      <c r="S116" s="2068">
        <f>SUMIFS(S$5:S$71,$C$5:$C$71,$B116,$F$5:$F$71,$B$105)</f>
        <v/>
      </c>
      <c r="T116" s="2071">
        <f>SUM(N116:S116)</f>
        <v/>
      </c>
      <c r="U116" s="2071">
        <f>M116+T116</f>
        <v/>
      </c>
      <c r="V116" s="1938" t="n"/>
      <c r="X116" s="2008" t="n"/>
      <c r="Y116" s="2008" t="n"/>
      <c r="Z116" s="1944" t="n"/>
      <c r="AA116" s="2018" t="n"/>
      <c r="AB116" s="2008" t="n"/>
      <c r="AC116" s="2019" t="n"/>
      <c r="AD116" s="1973" t="n"/>
      <c r="AE116" s="1973" t="n"/>
      <c r="AF116" s="1973" t="n"/>
      <c r="AG116" s="1974" t="n"/>
      <c r="AH116" s="1974" t="n"/>
      <c r="AI116" s="2008" t="n"/>
      <c r="AJ116" s="2008" t="n"/>
      <c r="AK116" s="2008" t="n"/>
      <c r="AL116" s="2008" t="n"/>
      <c r="AM116" s="2008" t="n"/>
      <c r="AO116" s="1938" t="n"/>
    </row>
    <row customFormat="1" customHeight="1" ht="13.5" r="117" s="1938" spans="1:41">
      <c r="B117" s="2077" t="n"/>
      <c r="C117" s="2059" t="n"/>
      <c r="D117" s="2074" t="n"/>
      <c r="E117" s="2059" t="n"/>
      <c r="F117" s="2061" t="n"/>
      <c r="G117" s="2061" t="n"/>
      <c r="H117" s="2072" t="n"/>
      <c r="I117" s="2072" t="n"/>
      <c r="J117" s="2072" t="n"/>
      <c r="K117" s="2072" t="n"/>
      <c r="L117" s="2072" t="n"/>
      <c r="M117" s="2072" t="n"/>
      <c r="N117" s="2072" t="n"/>
      <c r="O117" s="2072" t="n"/>
      <c r="P117" s="2072" t="n"/>
      <c r="Q117" s="2072" t="n"/>
      <c r="R117" s="2072" t="n"/>
      <c r="S117" s="2072" t="n"/>
      <c r="T117" s="2072" t="n"/>
      <c r="U117" s="2072" t="n"/>
      <c r="V117" s="2072" t="n"/>
      <c r="X117" s="2017" t="n"/>
      <c r="Y117" s="2017" t="n"/>
      <c r="Z117" s="1944" t="n"/>
      <c r="AA117" s="2027" t="n"/>
      <c r="AB117" s="2008" t="n"/>
      <c r="AC117" s="2019" t="n"/>
      <c r="AD117" s="1973" t="n"/>
      <c r="AE117" s="1973" t="n"/>
      <c r="AF117" s="1973" t="n"/>
      <c r="AG117" s="1974" t="n"/>
      <c r="AH117" s="1974" t="n"/>
      <c r="AI117" s="2008" t="n"/>
      <c r="AJ117" s="2008" t="n"/>
      <c r="AK117" s="2008" t="n"/>
      <c r="AL117" s="2008" t="n"/>
      <c r="AM117" s="2008" t="n"/>
    </row>
    <row customFormat="1" customHeight="1" ht="14.25" r="118" s="1938" spans="1:41" thickBot="1">
      <c r="B118" s="2077" t="n"/>
      <c r="C118" s="2059" t="n"/>
      <c r="D118" s="2074" t="n"/>
      <c r="E118" s="2059" t="n"/>
      <c r="F118" s="2061" t="n"/>
      <c r="G118" s="2072" t="n">
        <v>1696</v>
      </c>
      <c r="H118" s="2072" t="n">
        <v>1889.375</v>
      </c>
      <c r="I118" s="2072" t="n">
        <v>2001.5</v>
      </c>
      <c r="J118" s="2072" t="n">
        <v>2762</v>
      </c>
      <c r="K118" s="2072" t="n">
        <v>3022</v>
      </c>
      <c r="L118" s="2072" t="n">
        <v>2788</v>
      </c>
      <c r="M118" s="2072" t="n"/>
      <c r="N118" s="2072" t="n">
        <v>2749</v>
      </c>
      <c r="O118" s="2072" t="n">
        <v>2229</v>
      </c>
      <c r="P118" s="2072" t="n">
        <v>1696</v>
      </c>
      <c r="Q118" s="2072" t="n">
        <v>1527</v>
      </c>
      <c r="R118" s="2072" t="n">
        <v>1527</v>
      </c>
      <c r="S118" s="2072" t="n">
        <v>1397</v>
      </c>
      <c r="T118" s="2072" t="n"/>
      <c r="U118" s="2078" t="s">
        <v>134</v>
      </c>
      <c r="X118" s="2034" t="n"/>
      <c r="Y118" s="2034" t="n"/>
      <c r="Z118" s="1944" t="n"/>
      <c r="AA118" s="2027" t="n"/>
      <c r="AB118" s="2028" t="n"/>
      <c r="AC118" s="2028" t="n"/>
      <c r="AD118" s="1973" t="n"/>
      <c r="AE118" s="1973" t="n"/>
      <c r="AF118" s="1973" t="n"/>
      <c r="AG118" s="1974" t="n"/>
      <c r="AH118" s="1974" t="n"/>
      <c r="AI118" s="2028" t="n"/>
      <c r="AJ118" s="2028" t="n"/>
      <c r="AK118" s="2028" t="n"/>
      <c r="AL118" s="2028" t="n"/>
      <c r="AM118" s="2028" t="n"/>
    </row>
    <row customFormat="1" r="119" s="2059" spans="1:41">
      <c r="B119" s="2079" t="n"/>
      <c r="C119" s="2019" t="n"/>
      <c r="D119" s="2080" t="n">
        <v>13000</v>
      </c>
      <c r="E119" s="2081" t="s">
        <v>134</v>
      </c>
      <c r="F119" s="2082" t="n"/>
      <c r="G119" s="2083">
        <f>SUM(G134:G140)</f>
        <v/>
      </c>
      <c r="H119" s="2083">
        <f>SUM(H134:H140)</f>
        <v/>
      </c>
      <c r="I119" s="2083">
        <f>SUM(I134:I140)</f>
        <v/>
      </c>
      <c r="J119" s="2083">
        <f>SUM(J134:J140)</f>
        <v/>
      </c>
      <c r="K119" s="2083">
        <f>SUM(K134:K140)</f>
        <v/>
      </c>
      <c r="L119" s="2083">
        <f>SUM(L134:L140)</f>
        <v/>
      </c>
      <c r="M119" s="2084" t="n"/>
      <c r="N119" s="2083">
        <f>SUM(N134:N140)</f>
        <v/>
      </c>
      <c r="O119" s="2083">
        <f>SUM(O134:O140)</f>
        <v/>
      </c>
      <c r="P119" s="2083">
        <f>SUM(P134:P140)</f>
        <v/>
      </c>
      <c r="Q119" s="2083">
        <f>SUM(Q134:Q140)</f>
        <v/>
      </c>
      <c r="R119" s="2083">
        <f>SUM(R134:R140)</f>
        <v/>
      </c>
      <c r="S119" s="2083">
        <f>SUM(S134:S140)</f>
        <v/>
      </c>
      <c r="T119" s="2072" t="n"/>
      <c r="U119" s="2019">
        <f>SUM(G119:S119)</f>
        <v/>
      </c>
      <c r="X119" s="2041" t="n"/>
      <c r="Y119" s="2041" t="n"/>
      <c r="Z119" s="1944" t="n"/>
      <c r="AA119" s="2027" t="n"/>
      <c r="AB119" s="2035" t="n"/>
      <c r="AC119" s="2035" t="n"/>
      <c r="AD119" s="1973" t="n"/>
      <c r="AE119" s="1973" t="n"/>
      <c r="AF119" s="1973" t="n"/>
      <c r="AG119" s="1974" t="n"/>
      <c r="AH119" s="1974" t="n"/>
      <c r="AI119" s="2035" t="n"/>
      <c r="AJ119" s="2035" t="n"/>
      <c r="AK119" s="2035" t="n"/>
      <c r="AL119" s="2035" t="n"/>
      <c r="AM119" s="2035" t="n"/>
      <c r="AN119" s="2059" t="n"/>
    </row>
    <row r="120" spans="1:41">
      <c r="B120" s="2085" t="n"/>
      <c r="C120" s="1973" t="n"/>
      <c r="E120" s="2086" t="s">
        <v>135</v>
      </c>
      <c r="F120" s="1940" t="n"/>
      <c r="G120" s="1944">
        <f>G105</f>
        <v/>
      </c>
      <c r="H120" s="1944">
        <f>H105</f>
        <v/>
      </c>
      <c r="I120" s="1944">
        <f>I105</f>
        <v/>
      </c>
      <c r="J120" s="1944">
        <f>J105</f>
        <v/>
      </c>
      <c r="K120" s="1944">
        <f>K105</f>
        <v/>
      </c>
      <c r="L120" s="1944">
        <f>L105</f>
        <v/>
      </c>
      <c r="M120" s="2087" t="n"/>
      <c r="N120" s="1944">
        <f>N105</f>
        <v/>
      </c>
      <c r="O120" s="1944">
        <f>O105</f>
        <v/>
      </c>
      <c r="P120" s="1944">
        <f>P105</f>
        <v/>
      </c>
      <c r="Q120" s="1944">
        <f>Q105</f>
        <v/>
      </c>
      <c r="R120" s="1944">
        <f>R105</f>
        <v/>
      </c>
      <c r="S120" s="2088">
        <f>S105</f>
        <v/>
      </c>
      <c r="U120" s="2019">
        <f>SUM(G120:S120)</f>
        <v/>
      </c>
      <c r="V120" s="1938" t="n"/>
      <c r="X120" s="2048" t="n"/>
      <c r="Y120" s="2048" t="n"/>
      <c r="Z120" s="1944" t="n"/>
      <c r="AA120" s="2027" t="n"/>
      <c r="AB120" s="2042" t="n"/>
      <c r="AC120" s="2042" t="n"/>
      <c r="AD120" s="1973" t="n"/>
      <c r="AE120" s="1973" t="n"/>
      <c r="AF120" s="1973" t="n"/>
      <c r="AG120" s="1974" t="n"/>
      <c r="AH120" s="1974" t="n"/>
      <c r="AI120" s="2042" t="n"/>
      <c r="AJ120" s="2042" t="n"/>
      <c r="AK120" s="2042" t="n"/>
      <c r="AL120" s="2042" t="n"/>
      <c r="AM120" s="2042" t="n"/>
      <c r="AN120" s="1938" t="n"/>
      <c r="AO120" s="1938" t="n"/>
    </row>
    <row r="121" spans="1:41">
      <c r="B121" s="2085" t="n"/>
      <c r="C121" s="1973" t="n"/>
      <c r="E121" s="2086" t="s">
        <v>136</v>
      </c>
      <c r="F121" s="1940" t="n"/>
      <c r="G121" s="1944">
        <f>G92-1</f>
        <v/>
      </c>
      <c r="H121" s="1944">
        <f>H92-1</f>
        <v/>
      </c>
      <c r="I121" s="1944">
        <f>I92-1</f>
        <v/>
      </c>
      <c r="J121" s="1944">
        <f>J92-1</f>
        <v/>
      </c>
      <c r="K121" s="1944">
        <f>K92-1</f>
        <v/>
      </c>
      <c r="L121" s="1944">
        <f>L92-1</f>
        <v/>
      </c>
      <c r="M121" s="2087" t="n"/>
      <c r="N121" s="1944">
        <f>N92-1</f>
        <v/>
      </c>
      <c r="O121" s="1944">
        <f>O92-1</f>
        <v/>
      </c>
      <c r="P121" s="1944">
        <f>P92-1</f>
        <v/>
      </c>
      <c r="Q121" s="1944">
        <f>Q92-1</f>
        <v/>
      </c>
      <c r="R121" s="1944">
        <f>R92-1</f>
        <v/>
      </c>
      <c r="S121" s="2088">
        <f>S92-1</f>
        <v/>
      </c>
      <c r="U121" s="2019">
        <f>SUM(G121:S121)</f>
        <v/>
      </c>
      <c r="V121" s="1938" t="n"/>
      <c r="X121" s="1944" t="n"/>
      <c r="Y121" s="1944" t="n"/>
      <c r="Z121" s="1944" t="n"/>
      <c r="AA121" s="2042" t="n"/>
      <c r="AB121" s="1944" t="n"/>
      <c r="AC121" s="1944" t="n"/>
      <c r="AD121" s="1973" t="n"/>
      <c r="AE121" s="1974" t="n"/>
      <c r="AF121" s="1974" t="n"/>
      <c r="AG121" s="1974" t="n"/>
      <c r="AH121" s="1944" t="n"/>
      <c r="AI121" s="1944" t="n"/>
      <c r="AJ121" s="1944" t="n"/>
      <c r="AK121" s="1944" t="n"/>
      <c r="AL121" s="1944" t="n"/>
      <c r="AM121" s="1944" t="n"/>
      <c r="AN121" s="1938" t="n"/>
      <c r="AO121" s="1938" t="n"/>
    </row>
    <row customHeight="1" ht="11.25" r="122" s="1843" spans="1:41" thickBot="1">
      <c r="E122" s="2089" t="n"/>
      <c r="F122" s="2090" t="n"/>
      <c r="G122" s="2091" t="n"/>
      <c r="H122" s="2091" t="n"/>
      <c r="I122" s="2091" t="n"/>
      <c r="J122" s="2091" t="n"/>
      <c r="K122" s="2091" t="n"/>
      <c r="L122" s="2091" t="n"/>
      <c r="M122" s="2092" t="n"/>
      <c r="N122" s="2091" t="n"/>
      <c r="O122" s="2091" t="n"/>
      <c r="P122" s="2091" t="n"/>
      <c r="Q122" s="2091" t="n"/>
      <c r="R122" s="2091" t="n"/>
      <c r="S122" s="2093" t="n"/>
      <c r="V122" s="1938" t="n"/>
      <c r="X122" s="2008" t="n"/>
      <c r="Y122" s="2008" t="n"/>
      <c r="Z122" s="2008" t="n"/>
      <c r="AA122" s="2027" t="n"/>
      <c r="AB122" s="1944" t="n"/>
      <c r="AC122" s="1944" t="n"/>
      <c r="AD122" s="1973" t="n"/>
      <c r="AE122" s="1973" t="n"/>
      <c r="AF122" s="1973" t="n"/>
      <c r="AG122" s="1974" t="n"/>
      <c r="AH122" s="1974" t="n"/>
      <c r="AN122" s="1938" t="n"/>
      <c r="AO122" s="1938" t="n"/>
    </row>
    <row r="123" spans="1:41">
      <c r="G123" s="1941" t="n"/>
      <c r="K123" s="1942" t="n"/>
      <c r="M123" s="1943" t="n"/>
      <c r="V123" s="1938" t="n"/>
      <c r="AD123" s="1973" t="n"/>
      <c r="AE123" s="1974" t="n"/>
      <c r="AF123" s="1974" t="n"/>
      <c r="AN123" s="1938" t="n"/>
      <c r="AO123" s="1938" t="n"/>
    </row>
    <row r="124" spans="1:41">
      <c r="E124" s="2094" t="s">
        <v>137</v>
      </c>
      <c r="F124" s="1947" t="n"/>
      <c r="G124" s="2094" t="n">
        <v>2</v>
      </c>
      <c r="H124" s="2095" t="n">
        <v>2</v>
      </c>
      <c r="I124" s="2095" t="n">
        <v>2</v>
      </c>
      <c r="J124" s="2095" t="n">
        <v>2</v>
      </c>
      <c r="K124" s="2095" t="n">
        <v>2</v>
      </c>
      <c r="L124" s="2095" t="n">
        <v>2</v>
      </c>
      <c r="M124" s="2096" t="n"/>
      <c r="N124" s="2095" t="n">
        <v>2</v>
      </c>
      <c r="O124" s="2095" t="n">
        <v>2</v>
      </c>
      <c r="P124" s="2095" t="n">
        <v>2</v>
      </c>
      <c r="Q124" s="2095" t="n">
        <v>2</v>
      </c>
      <c r="R124" s="2095" t="n">
        <v>2</v>
      </c>
      <c r="S124" s="2097" t="n">
        <v>2</v>
      </c>
      <c r="U124" s="2072">
        <f>SUM(G124:S124)</f>
        <v/>
      </c>
      <c r="V124" s="1938" t="n"/>
      <c r="X124" s="1938" t="n"/>
      <c r="Y124" s="1938" t="n"/>
      <c r="Z124" s="1938" t="n"/>
      <c r="AA124" s="1938" t="n"/>
      <c r="AB124" s="1938" t="n"/>
      <c r="AC124" s="1938" t="n"/>
      <c r="AD124" s="1938" t="n"/>
      <c r="AE124" s="1938" t="n"/>
      <c r="AF124" s="1938" t="n"/>
      <c r="AG124" s="1938" t="n"/>
      <c r="AH124" s="1938" t="n"/>
      <c r="AI124" s="1938" t="n"/>
      <c r="AJ124" s="1938" t="n"/>
      <c r="AK124" s="1938" t="n"/>
      <c r="AL124" s="1938" t="n"/>
      <c r="AM124" s="1938" t="n"/>
      <c r="AN124" s="1938" t="n"/>
      <c r="AO124" s="1938" t="n"/>
    </row>
    <row r="125" spans="1:41">
      <c r="E125" s="2094" t="s">
        <v>138</v>
      </c>
      <c r="F125" s="2098" t="n"/>
      <c r="G125" s="2099">
        <f>SUMIFS(G$5:G$71,$W$5:$W$71,"12272",$F$5:$F$71,"实际OS")</f>
        <v/>
      </c>
      <c r="H125" s="2100">
        <f>SUMIFS(H$5:H$71,$W$5:$W$71,"12272",$F$5:$F$71,"实际OS")</f>
        <v/>
      </c>
      <c r="I125" s="2100">
        <f>SUMIFS(I$5:I$71,$W$5:$W$71,"12272",$F$5:$F$71,"实际OS")</f>
        <v/>
      </c>
      <c r="J125" s="2100">
        <f>SUMIFS(J$5:J$71,$W$5:$W$71,"12272",$F$5:$F$71,"实际OS")</f>
        <v/>
      </c>
      <c r="K125" s="2100">
        <f>SUMIFS(K$5:K$71,$W$5:$W$71,"12272",$F$5:$F$71,"实际OS")</f>
        <v/>
      </c>
      <c r="L125" s="2100">
        <f>SUMIFS(L$5:L$71,$W$5:$W$71,"12272",$F$5:$F$71,"实际OS")</f>
        <v/>
      </c>
      <c r="M125" s="2101" t="n"/>
      <c r="N125" s="2100">
        <f>SUMIFS(N$5:N$71,$W$5:$W$71,"12272",$F$5:$F$71,"实际OS")</f>
        <v/>
      </c>
      <c r="O125" s="2100">
        <f>SUMIFS(O$5:O$71,$W$5:$W$71,"12272",$F$5:$F$71,"实际OS")</f>
        <v/>
      </c>
      <c r="P125" s="2100">
        <f>SUMIFS(P$5:P$71,$W$5:$W$71,"12272",$F$5:$F$71,"实际OS")</f>
        <v/>
      </c>
      <c r="Q125" s="2100">
        <f>SUMIFS(Q$5:Q$71,$W$5:$W$71,"12272",$F$5:$F$71,"实际OS")</f>
        <v/>
      </c>
      <c r="R125" s="2100">
        <f>SUMIFS(R$5:R$71,$W$5:$W$71,"12272",$F$5:$F$71,"实际OS")</f>
        <v/>
      </c>
      <c r="S125" s="2102">
        <f>SUMIFS(S$5:S$71,$W$5:$W$71,"12272",$F$5:$F$71,"实际OS")</f>
        <v/>
      </c>
      <c r="U125" s="1941">
        <f>SUM(G125:S125)</f>
        <v/>
      </c>
      <c r="V125" s="1938" t="n"/>
      <c r="X125" s="2008" t="n"/>
      <c r="Y125" s="2008" t="n"/>
      <c r="Z125" s="1944" t="n"/>
      <c r="AA125" s="2018" t="n"/>
      <c r="AB125" s="2008" t="n"/>
      <c r="AC125" s="2019" t="n"/>
      <c r="AD125" s="1973" t="n"/>
      <c r="AE125" s="1973" t="n"/>
      <c r="AF125" s="1973" t="n"/>
      <c r="AG125" s="1974" t="n"/>
      <c r="AH125" s="1974" t="n"/>
      <c r="AI125" s="2008" t="n"/>
      <c r="AJ125" s="2008" t="n"/>
      <c r="AK125" s="2008" t="n"/>
      <c r="AL125" s="2008" t="n"/>
      <c r="AM125" s="2008" t="n"/>
      <c r="AN125" s="1938" t="n"/>
      <c r="AO125" s="1938" t="n"/>
    </row>
    <row r="126" spans="1:41">
      <c r="E126" s="2103" t="s">
        <v>139</v>
      </c>
      <c r="F126" s="1947" t="n"/>
      <c r="G126" s="2099">
        <f>SUMIFS(G$5:G$71,$W$5:$W$71,"12273",$F$5:$F$71,"实际OS")</f>
        <v/>
      </c>
      <c r="H126" s="2100">
        <f>SUMIFS(H$5:H$71,$W$5:$W$71,"12273",$F$5:$F$71,"实际OS")</f>
        <v/>
      </c>
      <c r="I126" s="2100">
        <f>SUMIFS(I$5:I$71,$W$5:$W$71,"12273",$F$5:$F$71,"实际OS")</f>
        <v/>
      </c>
      <c r="J126" s="2100">
        <f>SUMIFS(J$5:J$71,$W$5:$W$71,"12273",$F$5:$F$71,"实际OS")</f>
        <v/>
      </c>
      <c r="K126" s="2100">
        <f>SUMIFS(K$5:K$71,$W$5:$W$71,"12273",$F$5:$F$71,"实际OS")</f>
        <v/>
      </c>
      <c r="L126" s="2100">
        <f>SUMIFS(L$5:L$71,$W$5:$W$71,"12273",$F$5:$F$71,"实际OS")</f>
        <v/>
      </c>
      <c r="M126" s="2101" t="n"/>
      <c r="N126" s="2100">
        <f>SUMIFS(N$5:N$71,$W$5:$W$71,"12273",$F$5:$F$71,"实际OS")</f>
        <v/>
      </c>
      <c r="O126" s="2100">
        <f>SUMIFS(O$5:O$71,$W$5:$W$71,"12273",$F$5:$F$71,"实际OS")</f>
        <v/>
      </c>
      <c r="P126" s="2100">
        <f>SUMIFS(P$5:P$71,$W$5:$W$71,"12273",$F$5:$F$71,"实际OS")</f>
        <v/>
      </c>
      <c r="Q126" s="2100">
        <f>SUMIFS(Q$5:Q$71,$W$5:$W$71,"12273",$F$5:$F$71,"实际OS")</f>
        <v/>
      </c>
      <c r="R126" s="2100">
        <f>SUMIFS(R$5:R$71,$W$5:$W$71,"12273",$F$5:$F$71,"实际OS")</f>
        <v/>
      </c>
      <c r="S126" s="2102">
        <f>SUMIFS(S$5:S$71,$W$5:$W$71,"12273",$F$5:$F$71,"实际OS")</f>
        <v/>
      </c>
      <c r="U126" s="1941">
        <f>SUM(G126:S126)</f>
        <v/>
      </c>
      <c r="V126" s="1938" t="n"/>
      <c r="X126" s="2017" t="n"/>
      <c r="Y126" s="2017" t="n"/>
      <c r="Z126" s="1944" t="n"/>
      <c r="AA126" s="2027" t="n"/>
      <c r="AB126" s="2008" t="n"/>
      <c r="AC126" s="2019" t="n"/>
      <c r="AD126" s="1973" t="n"/>
      <c r="AE126" s="1973" t="n"/>
      <c r="AF126" s="1973" t="n"/>
      <c r="AG126" s="1974" t="n"/>
      <c r="AH126" s="1974" t="n"/>
      <c r="AI126" s="2008" t="n"/>
      <c r="AJ126" s="2008" t="n"/>
      <c r="AK126" s="2008" t="n"/>
      <c r="AL126" s="2008" t="n"/>
      <c r="AM126" s="2008" t="n"/>
      <c r="AN126" s="1938" t="n"/>
      <c r="AO126" s="1938" t="n"/>
    </row>
    <row r="127" spans="1:41">
      <c r="E127" s="2103" t="s">
        <v>140</v>
      </c>
      <c r="F127" s="1947" t="n"/>
      <c r="G127" s="2099">
        <f>SUMIFS(G$5:G$71,$W$5:$W$71,"12276",$F$5:$F$71,"实际OS")</f>
        <v/>
      </c>
      <c r="H127" s="2100">
        <f>SUMIFS(H$5:H$71,$W$5:$W$71,"12276",$F$5:$F$71,"实际OS")</f>
        <v/>
      </c>
      <c r="I127" s="2100">
        <f>SUMIFS(I$5:I$71,$W$5:$W$71,"12276",$F$5:$F$71,"实际OS")</f>
        <v/>
      </c>
      <c r="J127" s="2100">
        <f>SUMIFS(J$5:J$71,$W$5:$W$71,"12276",$F$5:$F$71,"实际OS")</f>
        <v/>
      </c>
      <c r="K127" s="2100">
        <f>SUMIFS(K$5:K$71,$W$5:$W$71,"12276",$F$5:$F$71,"实际OS")</f>
        <v/>
      </c>
      <c r="L127" s="2100">
        <f>SUMIFS(L$5:L$71,$W$5:$W$71,"12276",$F$5:$F$71,"实际OS")</f>
        <v/>
      </c>
      <c r="M127" s="2101" t="n"/>
      <c r="N127" s="2100">
        <f>SUMIFS(N$5:N$71,$W$5:$W$71,"12276",$F$5:$F$71,"实际OS")</f>
        <v/>
      </c>
      <c r="O127" s="2100">
        <f>SUMIFS(O$5:O$71,$W$5:$W$71,"12276",$F$5:$F$71,"实际OS")</f>
        <v/>
      </c>
      <c r="P127" s="2100">
        <f>SUMIFS(P$5:P$71,$W$5:$W$71,"12276",$F$5:$F$71,"实际OS")</f>
        <v/>
      </c>
      <c r="Q127" s="2100">
        <f>SUMIFS(Q$5:Q$71,$W$5:$W$71,"12276",$F$5:$F$71,"实际OS")</f>
        <v/>
      </c>
      <c r="R127" s="2100">
        <f>SUMIFS(R$5:R$71,$W$5:$W$71,"12276",$F$5:$F$71,"实际OS")</f>
        <v/>
      </c>
      <c r="S127" s="2102">
        <f>SUMIFS(S$5:S$71,$W$5:$W$71,"12276",$F$5:$F$71,"实际OS")</f>
        <v/>
      </c>
      <c r="U127" s="1941">
        <f>SUM(G127:S127)</f>
        <v/>
      </c>
      <c r="V127" s="1938" t="n"/>
      <c r="X127" s="2034" t="n"/>
      <c r="Y127" s="2034" t="n"/>
      <c r="Z127" s="1944" t="n"/>
      <c r="AA127" s="2027" t="n"/>
      <c r="AB127" s="2028" t="n"/>
      <c r="AC127" s="2028" t="n"/>
      <c r="AD127" s="1973" t="n"/>
      <c r="AE127" s="1973" t="n"/>
      <c r="AF127" s="1973" t="n"/>
      <c r="AG127" s="1974" t="n"/>
      <c r="AH127" s="1974" t="n"/>
      <c r="AI127" s="2028" t="n"/>
      <c r="AJ127" s="2028" t="n"/>
      <c r="AK127" s="2028" t="n"/>
      <c r="AL127" s="2028" t="n"/>
      <c r="AM127" s="2028" t="n"/>
      <c r="AN127" s="1938" t="n"/>
      <c r="AO127" s="1938" t="n"/>
    </row>
    <row r="128" spans="1:41">
      <c r="E128" s="2104" t="s">
        <v>141</v>
      </c>
      <c r="F128" s="2105" t="n"/>
      <c r="G128" s="2099">
        <f>SUMIFS(G$5:G$71,$W$5:$W$71,"12277",$F$5:$F$71,"实际OS")-G129</f>
        <v/>
      </c>
      <c r="H128" s="2099">
        <f>SUMIFS(H$5:H$71,$W$5:$W$71,"12277",$F$5:$F$71,"实际OS")-H129</f>
        <v/>
      </c>
      <c r="I128" s="2099">
        <f>SUMIFS(I$5:I$71,$W$5:$W$71,"12277",$F$5:$F$71,"实际OS")-I129</f>
        <v/>
      </c>
      <c r="J128" s="2099">
        <f>SUMIFS(J$5:J$71,$W$5:$W$71,"12277",$F$5:$F$71,"实际OS")-J129</f>
        <v/>
      </c>
      <c r="K128" s="2099">
        <f>SUMIFS(K$5:K$71,$W$5:$W$71,"12277",$F$5:$F$71,"实际OS")-K129</f>
        <v/>
      </c>
      <c r="L128" s="2099">
        <f>SUMIFS(L$5:L$71,$W$5:$W$71,"12277",$F$5:$F$71,"实际OS")-L129</f>
        <v/>
      </c>
      <c r="M128" s="2101" t="n"/>
      <c r="N128" s="2099">
        <f>SUMIFS(N$5:N$71,$W$5:$W$71,"12277",$F$5:$F$71,"实际OS")-N129</f>
        <v/>
      </c>
      <c r="O128" s="2099">
        <f>SUMIFS(O$5:O$71,$W$5:$W$71,"12277",$F$5:$F$71,"实际OS")-O129</f>
        <v/>
      </c>
      <c r="P128" s="2099">
        <f>SUMIFS(P$5:P$71,$W$5:$W$71,"12277",$F$5:$F$71,"实际OS")-P129</f>
        <v/>
      </c>
      <c r="Q128" s="2099">
        <f>SUMIFS(Q$5:Q$71,$W$5:$W$71,"12277",$F$5:$F$71,"实际OS")-Q129</f>
        <v/>
      </c>
      <c r="R128" s="2099">
        <f>SUMIFS(R$5:R$71,$W$5:$W$71,"12277",$F$5:$F$71,"实际OS")-R129</f>
        <v/>
      </c>
      <c r="S128" s="2099">
        <f>SUMIFS(S$5:S$71,$W$5:$W$71,"12277",$F$5:$F$71,"实际OS")-S129</f>
        <v/>
      </c>
      <c r="U128" s="1941">
        <f>SUM(G128:S128)</f>
        <v/>
      </c>
      <c r="V128" s="1938" t="n"/>
      <c r="X128" s="2041" t="n"/>
      <c r="Y128" s="2041" t="n"/>
      <c r="Z128" s="1944" t="n"/>
      <c r="AA128" s="2027" t="n"/>
      <c r="AB128" s="2035" t="n"/>
      <c r="AC128" s="2035" t="n"/>
      <c r="AD128" s="1973" t="n"/>
      <c r="AE128" s="1973" t="n"/>
      <c r="AF128" s="1973" t="n"/>
      <c r="AG128" s="1974" t="n"/>
      <c r="AH128" s="1974" t="n"/>
      <c r="AI128" s="2035" t="n"/>
      <c r="AJ128" s="2035" t="n"/>
      <c r="AK128" s="2035" t="n"/>
      <c r="AL128" s="2035" t="n"/>
      <c r="AM128" s="2035" t="n"/>
      <c r="AN128" s="1938" t="n"/>
      <c r="AO128" s="1938" t="n"/>
    </row>
    <row r="129" spans="1:41">
      <c r="E129" s="2104" t="s">
        <v>142</v>
      </c>
      <c r="F129" s="2105" t="n"/>
      <c r="G129" s="2099">
        <f>G14</f>
        <v/>
      </c>
      <c r="H129" s="2099">
        <f>H14</f>
        <v/>
      </c>
      <c r="I129" s="2099">
        <f>I14</f>
        <v/>
      </c>
      <c r="J129" s="2099">
        <f>J14</f>
        <v/>
      </c>
      <c r="K129" s="2099">
        <f>K14</f>
        <v/>
      </c>
      <c r="L129" s="2099">
        <f>L14</f>
        <v/>
      </c>
      <c r="M129" s="2101" t="n"/>
      <c r="N129" s="2099">
        <f>N14</f>
        <v/>
      </c>
      <c r="O129" s="2099">
        <f>O14</f>
        <v/>
      </c>
      <c r="P129" s="2099">
        <f>P14</f>
        <v/>
      </c>
      <c r="Q129" s="2099">
        <f>Q14</f>
        <v/>
      </c>
      <c r="R129" s="2099">
        <f>R14</f>
        <v/>
      </c>
      <c r="S129" s="2099">
        <f>S14</f>
        <v/>
      </c>
      <c r="U129" s="1941">
        <f>SUM(G129:S129)</f>
        <v/>
      </c>
      <c r="V129" s="1938" t="n"/>
      <c r="X129" s="2048" t="n"/>
      <c r="Y129" s="2048" t="n"/>
      <c r="Z129" s="1944" t="n"/>
      <c r="AA129" s="2027" t="n"/>
      <c r="AB129" s="2042" t="n"/>
      <c r="AC129" s="2042" t="n"/>
      <c r="AD129" s="1973" t="n"/>
      <c r="AE129" s="1973" t="n"/>
      <c r="AF129" s="1973" t="n"/>
      <c r="AG129" s="1974" t="n"/>
      <c r="AH129" s="1974" t="n"/>
      <c r="AI129" s="2042" t="n"/>
      <c r="AJ129" s="2042" t="n"/>
      <c r="AK129" s="2042" t="n"/>
      <c r="AL129" s="2042" t="n"/>
      <c r="AM129" s="2042" t="n"/>
      <c r="AN129" s="1938" t="n"/>
      <c r="AO129" s="1938" t="n"/>
    </row>
    <row r="130" spans="1:41">
      <c r="E130" s="2104" t="s">
        <v>143</v>
      </c>
      <c r="F130" s="2105" t="n"/>
      <c r="G130" s="2106">
        <f>SUMIFS(G$5:G$71,$W$5:$W$71,"12278",$F$5:$F$71,"实际OS")</f>
        <v/>
      </c>
      <c r="H130" s="2107">
        <f>SUMIFS(H$5:H$71,$W$5:$W$71,"12278",$F$5:$F$71,"实际OS")</f>
        <v/>
      </c>
      <c r="I130" s="2107">
        <f>SUMIFS(I$5:I$71,$W$5:$W$71,"12278",$F$5:$F$71,"实际OS")</f>
        <v/>
      </c>
      <c r="J130" s="2107">
        <f>SUMIFS(J$5:J$71,$W$5:$W$71,"12278",$F$5:$F$71,"实际OS")</f>
        <v/>
      </c>
      <c r="K130" s="2107">
        <f>SUMIFS(K$5:K$71,$W$5:$W$71,"12278",$F$5:$F$71,"实际OS")</f>
        <v/>
      </c>
      <c r="L130" s="2107">
        <f>SUMIFS(L$5:L$71,$W$5:$W$71,"12278",$F$5:$F$71,"实际OS")</f>
        <v/>
      </c>
      <c r="M130" s="2108" t="n"/>
      <c r="N130" s="2107">
        <f>SUMIFS(N$5:N$71,$W$5:$W$71,"12278",$F$5:$F$71,"实际OS")</f>
        <v/>
      </c>
      <c r="O130" s="2107">
        <f>SUMIFS(O$5:O$71,$W$5:$W$71,"12278",$F$5:$F$71,"实际OS")</f>
        <v/>
      </c>
      <c r="P130" s="2107">
        <f>SUMIFS(P$5:P$71,$W$5:$W$71,"12278",$F$5:$F$71,"实际OS")</f>
        <v/>
      </c>
      <c r="Q130" s="2107">
        <f>SUMIFS(Q$5:Q$71,$W$5:$W$71,"12278",$F$5:$F$71,"实际OS")</f>
        <v/>
      </c>
      <c r="R130" s="2107">
        <f>SUMIFS(R$5:R$71,$W$5:$W$71,"12278",$F$5:$F$71,"实际OS")</f>
        <v/>
      </c>
      <c r="S130" s="2107">
        <f>SUMIFS(S$5:S$71,$W$5:$W$71,"12278",$F$5:$F$71,"实际OS")</f>
        <v/>
      </c>
      <c r="U130" s="1941">
        <f>SUM(G130:S130)</f>
        <v/>
      </c>
      <c r="V130" s="1938" t="n"/>
      <c r="X130" s="1944" t="n"/>
      <c r="Y130" s="1944" t="n"/>
      <c r="Z130" s="1944" t="n"/>
      <c r="AA130" s="2042" t="n"/>
      <c r="AB130" s="1944" t="n"/>
      <c r="AC130" s="1944" t="n"/>
      <c r="AD130" s="1973" t="n"/>
      <c r="AE130" s="1974" t="n"/>
      <c r="AF130" s="1974" t="n"/>
      <c r="AG130" s="1974" t="n"/>
      <c r="AH130" s="1944" t="n"/>
      <c r="AI130" s="1944" t="n"/>
      <c r="AJ130" s="1944" t="n"/>
      <c r="AK130" s="1944" t="n"/>
      <c r="AL130" s="1944" t="n"/>
      <c r="AM130" s="1944" t="n"/>
      <c r="AN130" s="1938" t="n"/>
      <c r="AO130" s="1938" t="n"/>
    </row>
    <row r="131" spans="1:41">
      <c r="E131" s="1944" t="n"/>
      <c r="F131" s="1947" t="n"/>
      <c r="G131" s="2100" t="n"/>
      <c r="H131" s="2100" t="n"/>
      <c r="I131" s="2100" t="n"/>
      <c r="J131" s="2100" t="n"/>
      <c r="K131" s="2100" t="n"/>
      <c r="L131" s="2100" t="n"/>
      <c r="M131" s="2101" t="n"/>
      <c r="N131" s="2100" t="n"/>
      <c r="O131" s="2100" t="n"/>
      <c r="P131" s="2100" t="n"/>
      <c r="Q131" s="2100" t="n"/>
      <c r="R131" s="2100" t="n"/>
      <c r="S131" s="2100" t="n"/>
      <c r="U131" s="2109">
        <f>SUBTOTAL(9,U124:U130)</f>
        <v/>
      </c>
      <c r="V131" s="1938" t="n"/>
      <c r="X131" s="2008" t="n"/>
      <c r="Y131" s="2008" t="n"/>
      <c r="Z131" s="2008" t="n"/>
      <c r="AA131" s="2027" t="n"/>
      <c r="AB131" s="1944" t="n"/>
      <c r="AC131" s="1944" t="n"/>
      <c r="AD131" s="1973" t="n"/>
      <c r="AE131" s="1973" t="n"/>
      <c r="AF131" s="1973" t="n"/>
      <c r="AG131" s="1974" t="n"/>
      <c r="AH131" s="1974" t="n"/>
      <c r="AN131" s="1938" t="n"/>
      <c r="AO131" s="1938" t="n"/>
    </row>
    <row r="132" spans="1:41">
      <c r="E132" s="1944" t="n"/>
      <c r="F132" s="1947" t="n"/>
      <c r="G132" s="2100" t="n"/>
      <c r="H132" s="2100" t="n"/>
      <c r="I132" s="2100" t="n"/>
      <c r="J132" s="2100" t="n"/>
      <c r="K132" s="2100" t="n"/>
      <c r="L132" s="2100" t="n"/>
      <c r="M132" s="2101" t="n"/>
      <c r="N132" s="2100" t="n"/>
      <c r="O132" s="2100" t="n"/>
      <c r="P132" s="2100" t="n"/>
      <c r="Q132" s="2100" t="n"/>
      <c r="R132" s="2100" t="n"/>
      <c r="S132" s="2100" t="n"/>
      <c r="V132" s="1938" t="n"/>
      <c r="AD132" s="1973" t="n"/>
      <c r="AE132" s="1974" t="n"/>
      <c r="AF132" s="1974" t="n"/>
      <c r="AN132" s="1938" t="n"/>
      <c r="AO132" s="1938" t="n"/>
    </row>
    <row r="133" spans="1:41">
      <c r="D133" s="2110" t="s">
        <v>144</v>
      </c>
      <c r="E133" s="1944" t="n"/>
      <c r="F133" s="1947" t="n"/>
      <c r="G133" s="1944" t="n"/>
      <c r="H133" s="1944" t="n"/>
      <c r="I133" s="1944" t="n"/>
      <c r="J133" s="1944" t="n"/>
      <c r="K133" s="1944" t="n"/>
      <c r="L133" s="1944" t="n"/>
      <c r="M133" s="2111" t="n"/>
      <c r="N133" s="1944" t="n"/>
      <c r="O133" s="1944" t="n"/>
      <c r="P133" s="1944" t="n"/>
      <c r="Q133" s="1944" t="n"/>
      <c r="R133" s="1944" t="n"/>
      <c r="S133" s="1944" t="n"/>
      <c r="V133" s="1938" t="n"/>
      <c r="X133" s="2008" t="n"/>
      <c r="Y133" s="2008" t="n"/>
      <c r="Z133" s="1944" t="n"/>
      <c r="AA133" s="2018" t="n"/>
      <c r="AB133" s="2008" t="n"/>
      <c r="AC133" s="2019" t="n"/>
      <c r="AD133" s="1973" t="n"/>
      <c r="AE133" s="1973" t="n"/>
      <c r="AF133" s="1973" t="n"/>
      <c r="AG133" s="1974" t="n"/>
      <c r="AH133" s="1974" t="n"/>
      <c r="AI133" s="2008" t="n"/>
      <c r="AJ133" s="2008" t="n"/>
      <c r="AK133" s="2008" t="n"/>
      <c r="AL133" s="2008" t="n"/>
      <c r="AM133" s="2008" t="n"/>
      <c r="AN133" s="1938" t="n"/>
      <c r="AO133" s="1938" t="n"/>
    </row>
    <row r="134" spans="1:41">
      <c r="D134" s="2112">
        <f>(10750+11100)/2</f>
        <v/>
      </c>
      <c r="E134" s="2094" t="s">
        <v>145</v>
      </c>
      <c r="F134" s="1947" t="n"/>
      <c r="G134" s="2095">
        <f>$D134*G124/1000</f>
        <v/>
      </c>
      <c r="H134" s="2095">
        <f>$D134*H124/1000</f>
        <v/>
      </c>
      <c r="I134" s="2095">
        <f>$D134*I124/1000</f>
        <v/>
      </c>
      <c r="J134" s="2095">
        <f>$D134*J124/1000</f>
        <v/>
      </c>
      <c r="K134" s="2095">
        <f>$D134*K124/1000</f>
        <v/>
      </c>
      <c r="L134" s="2095">
        <f>$D134*L124/1000</f>
        <v/>
      </c>
      <c r="M134" s="2111" t="n"/>
      <c r="N134" s="2095">
        <f>$D134*N124/1000</f>
        <v/>
      </c>
      <c r="O134" s="2095">
        <f>$D134*O124/1000</f>
        <v/>
      </c>
      <c r="P134" s="2095">
        <f>$D134*P124/1000</f>
        <v/>
      </c>
      <c r="Q134" s="2095">
        <f>$D134*Q124/1000</f>
        <v/>
      </c>
      <c r="R134" s="2095">
        <f>$D134*R124/1000</f>
        <v/>
      </c>
      <c r="S134" s="2095">
        <f>$D134*S124/1000</f>
        <v/>
      </c>
      <c r="U134" s="2008">
        <f>SUM(G134:S134)</f>
        <v/>
      </c>
      <c r="V134" s="1938" t="n"/>
      <c r="X134" s="2017" t="n"/>
      <c r="Y134" s="2017" t="n"/>
      <c r="Z134" s="1944" t="n"/>
      <c r="AA134" s="2027" t="n"/>
      <c r="AB134" s="2008" t="n"/>
      <c r="AC134" s="2019" t="n"/>
      <c r="AD134" s="1973" t="n"/>
      <c r="AE134" s="1973" t="n"/>
      <c r="AF134" s="1973" t="n"/>
      <c r="AG134" s="1974" t="n"/>
      <c r="AH134" s="1974" t="n"/>
      <c r="AI134" s="2008" t="n"/>
      <c r="AJ134" s="2008" t="n"/>
      <c r="AK134" s="2008" t="n"/>
      <c r="AL134" s="2008" t="n"/>
      <c r="AM134" s="2008" t="n"/>
      <c r="AN134" s="1938" t="n"/>
      <c r="AO134" s="1938" t="n"/>
    </row>
    <row r="135" spans="1:41">
      <c r="D135" s="2112" t="n">
        <v>16000</v>
      </c>
      <c r="E135" s="2094" t="s">
        <v>146</v>
      </c>
      <c r="F135" s="2098" t="n"/>
      <c r="G135" s="2113">
        <f>$D$135*G125/1000</f>
        <v/>
      </c>
      <c r="H135" s="2113">
        <f>$D$135*H125/1000+6</f>
        <v/>
      </c>
      <c r="I135" s="2113">
        <f>$D$135*I125/1000+6</f>
        <v/>
      </c>
      <c r="J135" s="2113">
        <f>$D$135*J125/1000+6</f>
        <v/>
      </c>
      <c r="K135" s="2113">
        <f>$D$135*K125/1000+6</f>
        <v/>
      </c>
      <c r="L135" s="2113">
        <f>$D$135*L125/1000+6</f>
        <v/>
      </c>
      <c r="M135" s="2114" t="n"/>
      <c r="N135" s="2113">
        <f>$D$135*N125/1000+6</f>
        <v/>
      </c>
      <c r="O135" s="2113">
        <f>$D$135*O125/1000+6</f>
        <v/>
      </c>
      <c r="P135" s="2113">
        <f>$D$135*P125/1000+6</f>
        <v/>
      </c>
      <c r="Q135" s="2113">
        <f>$D$135*Q125/1000+6</f>
        <v/>
      </c>
      <c r="R135" s="2113">
        <f>$D$135*R125/1000+6</f>
        <v/>
      </c>
      <c r="S135" s="2113">
        <f>$D$135*S125/1000+6</f>
        <v/>
      </c>
      <c r="U135" s="2072">
        <f>SUM(G135:S135)</f>
        <v/>
      </c>
      <c r="V135" s="2115">
        <f>U135/U125</f>
        <v/>
      </c>
      <c r="X135" s="2034" t="n"/>
      <c r="Y135" s="2034" t="n"/>
      <c r="Z135" s="1944" t="n"/>
      <c r="AA135" s="2027" t="n"/>
      <c r="AB135" s="2028" t="n"/>
      <c r="AC135" s="2028" t="n"/>
      <c r="AD135" s="1973" t="n"/>
      <c r="AE135" s="1973" t="n"/>
      <c r="AF135" s="1973" t="n"/>
      <c r="AG135" s="1974" t="n"/>
      <c r="AH135" s="1974" t="n"/>
      <c r="AI135" s="2028" t="n"/>
      <c r="AJ135" s="2028" t="n"/>
      <c r="AK135" s="2028" t="n"/>
      <c r="AL135" s="2028" t="n"/>
      <c r="AM135" s="2028" t="n"/>
      <c r="AN135" s="1938" t="n"/>
      <c r="AO135" s="1938" t="n"/>
    </row>
    <row customHeight="1" ht="11.25" r="136" s="1843" spans="1:41">
      <c r="D136" s="2112" t="n">
        <v>13500</v>
      </c>
      <c r="E136" s="2103" t="s">
        <v>147</v>
      </c>
      <c r="F136" s="1947" t="n"/>
      <c r="G136" s="1167">
        <f>(G42*13000+3000*10+G34*20000+G58*18500)/1000</f>
        <v/>
      </c>
      <c r="H136" s="1167">
        <f>(H42*13000+3000*10+H34*20000+H58*18500)/1000</f>
        <v/>
      </c>
      <c r="I136" s="1167">
        <f>(I42*13000+3000*10+I34*20000+I58*18500)/1000</f>
        <v/>
      </c>
      <c r="J136" s="1167">
        <f>(J42*13000+J34*20000+J58*18500)/1000</f>
        <v/>
      </c>
      <c r="K136" s="1167">
        <f>(K42*13000+K34*20000+K58*18500)/1000</f>
        <v/>
      </c>
      <c r="L136" s="1167">
        <f>(L42*13000+L34*20000+L58*18500)/1000</f>
        <v/>
      </c>
      <c r="M136" s="2111" t="n"/>
      <c r="N136" s="1167">
        <f>(N42*13000+N34*20000+N58*18500)/1000</f>
        <v/>
      </c>
      <c r="O136" s="1167">
        <f>(O42*13000+O34*20000+O58*18500)/1000</f>
        <v/>
      </c>
      <c r="P136" s="1167">
        <f>(P42*13000+P34*20000+P58*18500)/1000</f>
        <v/>
      </c>
      <c r="Q136" s="1167">
        <f>(Q42*13000+Q34*20000+Q58*18500)/1000</f>
        <v/>
      </c>
      <c r="R136" s="1167">
        <f>(R42*13000+R34*20000+R58*18500)/1000</f>
        <v/>
      </c>
      <c r="S136" s="1167">
        <f>(S42*13000+S34*20000+S58*18500)/1000</f>
        <v/>
      </c>
      <c r="U136" s="2072">
        <f>SUM(G136:S136)</f>
        <v/>
      </c>
      <c r="V136" s="2116">
        <f>U136/U126</f>
        <v/>
      </c>
      <c r="X136" s="2041" t="n"/>
      <c r="Y136" s="2041" t="n"/>
      <c r="Z136" s="1944" t="n"/>
      <c r="AA136" s="2027" t="n"/>
      <c r="AB136" s="2035" t="n"/>
      <c r="AC136" s="2035" t="n"/>
      <c r="AD136" s="1973" t="n"/>
      <c r="AE136" s="1973" t="n"/>
      <c r="AF136" s="1973" t="n"/>
      <c r="AG136" s="1974" t="n"/>
      <c r="AH136" s="1974" t="n"/>
      <c r="AI136" s="2035" t="n"/>
      <c r="AJ136" s="2035" t="n"/>
      <c r="AK136" s="2035" t="n"/>
      <c r="AL136" s="2035" t="n"/>
      <c r="AM136" s="2035" t="n"/>
      <c r="AN136" s="1938" t="n"/>
      <c r="AO136" s="1938" t="n"/>
    </row>
    <row r="137" spans="1:41">
      <c r="D137" s="2112" t="n">
        <v>13200</v>
      </c>
      <c r="E137" s="2103" t="s">
        <v>148</v>
      </c>
      <c r="F137" s="1947" t="n"/>
      <c r="G137" s="1944">
        <f>$D$137*G127/1000</f>
        <v/>
      </c>
      <c r="H137" s="1944">
        <f>$D$137*H127/1000</f>
        <v/>
      </c>
      <c r="I137" s="1944">
        <f>$D$137*I127/1000</f>
        <v/>
      </c>
      <c r="J137" s="1944">
        <f>$D$137*J127/1000</f>
        <v/>
      </c>
      <c r="K137" s="1944">
        <f>$D$137*K127/1000</f>
        <v/>
      </c>
      <c r="L137" s="1944">
        <f>$D$137*L127/1000</f>
        <v/>
      </c>
      <c r="M137" s="2111" t="n"/>
      <c r="N137" s="1944">
        <f>$D$137*N127/1000</f>
        <v/>
      </c>
      <c r="O137" s="1944">
        <f>$D$137*O127/1000</f>
        <v/>
      </c>
      <c r="P137" s="1944">
        <f>$D$137*P127/1000</f>
        <v/>
      </c>
      <c r="Q137" s="1944">
        <f>$D$137*Q127/1000</f>
        <v/>
      </c>
      <c r="R137" s="1944">
        <f>$D$137*R127/1000</f>
        <v/>
      </c>
      <c r="S137" s="1944">
        <f>$D$137*S127/1000</f>
        <v/>
      </c>
      <c r="U137" s="2072">
        <f>SUM(G137:S137)</f>
        <v/>
      </c>
      <c r="V137" s="2116">
        <f>U137/U127</f>
        <v/>
      </c>
      <c r="X137" s="2048" t="n"/>
      <c r="Y137" s="2048" t="n"/>
      <c r="Z137" s="1944" t="n"/>
      <c r="AA137" s="2027" t="n"/>
      <c r="AB137" s="2042" t="n"/>
      <c r="AC137" s="2042" t="n"/>
      <c r="AD137" s="1973" t="n"/>
      <c r="AE137" s="1973" t="n"/>
      <c r="AF137" s="1973" t="n"/>
      <c r="AG137" s="1974" t="n"/>
      <c r="AH137" s="1974" t="n"/>
      <c r="AI137" s="2042" t="n"/>
      <c r="AJ137" s="2042" t="n"/>
      <c r="AK137" s="2042" t="n"/>
      <c r="AL137" s="2042" t="n"/>
      <c r="AM137" s="2042" t="n"/>
      <c r="AN137" s="1938" t="n"/>
      <c r="AO137" s="1938" t="n"/>
    </row>
    <row r="138" spans="1:41">
      <c r="D138" s="2117" t="n">
        <v>12000</v>
      </c>
      <c r="E138" s="2104" t="s">
        <v>149</v>
      </c>
      <c r="F138" s="2105" t="n"/>
      <c r="G138" s="2118">
        <f>$D$138*G128/1000+8</f>
        <v/>
      </c>
      <c r="H138" s="2119">
        <f>$D$138*H128/1000+6</f>
        <v/>
      </c>
      <c r="I138" s="2119">
        <f>$D$138*I128/1000+6</f>
        <v/>
      </c>
      <c r="J138" s="2119">
        <f>$D$138*J128/1000+6</f>
        <v/>
      </c>
      <c r="K138" s="2119">
        <f>$D$138*K128/1000+6</f>
        <v/>
      </c>
      <c r="L138" s="2119">
        <f>$D$138*L128/1000+6</f>
        <v/>
      </c>
      <c r="M138" s="2120" t="n"/>
      <c r="N138" s="2119">
        <f>$D$138*N128/1000+6</f>
        <v/>
      </c>
      <c r="O138" s="2119">
        <f>$D$138*O128/1000+6</f>
        <v/>
      </c>
      <c r="P138" s="2119">
        <f>$D$138*P128/1000+6</f>
        <v/>
      </c>
      <c r="Q138" s="2119">
        <f>$D$138*Q128/1000+6</f>
        <v/>
      </c>
      <c r="R138" s="2119">
        <f>$D$138*R128/1000+6</f>
        <v/>
      </c>
      <c r="S138" s="2119">
        <f>$D$138*S128/1000+6</f>
        <v/>
      </c>
      <c r="U138" s="2072">
        <f>SUM(G138:S138)</f>
        <v/>
      </c>
      <c r="V138" s="2116">
        <f>U138/U128</f>
        <v/>
      </c>
      <c r="X138" s="1944" t="n"/>
      <c r="Y138" s="1944" t="n"/>
      <c r="Z138" s="1944" t="n"/>
      <c r="AA138" s="2042" t="n"/>
      <c r="AB138" s="1944" t="n"/>
      <c r="AC138" s="1944" t="n"/>
      <c r="AD138" s="1973" t="n"/>
      <c r="AE138" s="1974" t="n"/>
      <c r="AF138" s="1974" t="n"/>
      <c r="AG138" s="1974" t="n"/>
      <c r="AH138" s="1944" t="n"/>
      <c r="AI138" s="1944" t="n"/>
      <c r="AJ138" s="1944" t="n"/>
      <c r="AK138" s="1944" t="n"/>
      <c r="AL138" s="1944" t="n"/>
      <c r="AM138" s="1944" t="n"/>
      <c r="AN138" s="1938" t="n"/>
      <c r="AO138" s="1938" t="n"/>
    </row>
    <row r="139" spans="1:41">
      <c r="D139" s="2117" t="n">
        <v>10500</v>
      </c>
      <c r="E139" s="2104" t="s">
        <v>150</v>
      </c>
      <c r="F139" s="2105" t="n"/>
      <c r="G139" s="2095">
        <f>$D139*G129/1000</f>
        <v/>
      </c>
      <c r="H139" s="2095">
        <f>$D139*H129/1000</f>
        <v/>
      </c>
      <c r="I139" s="2095">
        <f>$D139*I129/1000</f>
        <v/>
      </c>
      <c r="J139" s="2095">
        <f>$D139*J129/1000</f>
        <v/>
      </c>
      <c r="K139" s="2095">
        <f>$D139*K129/1000</f>
        <v/>
      </c>
      <c r="L139" s="2095">
        <f>$D139*L129/1000</f>
        <v/>
      </c>
      <c r="M139" s="2120" t="n"/>
      <c r="N139" s="2095">
        <f>$D139*N129/1000</f>
        <v/>
      </c>
      <c r="O139" s="2095">
        <f>$D139*O129/1000</f>
        <v/>
      </c>
      <c r="P139" s="2095">
        <f>$D139*P129/1000</f>
        <v/>
      </c>
      <c r="Q139" s="2095">
        <f>$D139*Q129/1000</f>
        <v/>
      </c>
      <c r="R139" s="2095">
        <f>$D139*R129/1000</f>
        <v/>
      </c>
      <c r="S139" s="2095">
        <f>$D139*S129/1000</f>
        <v/>
      </c>
      <c r="U139" s="2072">
        <f>SUM(G139:S139)</f>
        <v/>
      </c>
      <c r="V139" s="2116" t="n"/>
      <c r="X139" s="2008" t="n"/>
      <c r="Y139" s="2008" t="n"/>
      <c r="Z139" s="2008" t="n"/>
      <c r="AA139" s="2027" t="n"/>
      <c r="AB139" s="1944" t="n"/>
      <c r="AC139" s="1944" t="n"/>
      <c r="AD139" s="1973" t="n"/>
      <c r="AE139" s="1973" t="n"/>
      <c r="AF139" s="1973" t="n"/>
      <c r="AG139" s="1974" t="n"/>
      <c r="AH139" s="1974" t="n"/>
      <c r="AN139" s="1938" t="n"/>
      <c r="AO139" s="1938" t="n"/>
    </row>
    <row r="140" spans="1:41">
      <c r="D140" s="2112" t="n">
        <v>25000</v>
      </c>
      <c r="E140" s="2104" t="s">
        <v>151</v>
      </c>
      <c r="F140" s="2105" t="n"/>
      <c r="G140" s="2121">
        <f>465500/1000-3*G130</f>
        <v/>
      </c>
      <c r="H140" s="2121">
        <f>465500/1000-3*H130</f>
        <v/>
      </c>
      <c r="I140" s="2121">
        <f>465500/1000-3*I130</f>
        <v/>
      </c>
      <c r="J140" s="2121">
        <f>481500/1000-3*J130</f>
        <v/>
      </c>
      <c r="K140" s="2121">
        <f>490500/1000-3*K130</f>
        <v/>
      </c>
      <c r="L140" s="2121">
        <f>497500/1000-3*L130</f>
        <v/>
      </c>
      <c r="M140" s="2120" t="n"/>
      <c r="N140" s="2121">
        <f>596500/1000-3*N130</f>
        <v/>
      </c>
      <c r="O140" s="2121">
        <f>596500/1000-3*O130</f>
        <v/>
      </c>
      <c r="P140" s="2121">
        <f>618000/1000-3*P130</f>
        <v/>
      </c>
      <c r="Q140" s="2121">
        <f>634000/1000-3*Q130</f>
        <v/>
      </c>
      <c r="R140" s="2121">
        <f>634000/1000-3*R130</f>
        <v/>
      </c>
      <c r="S140" s="2121">
        <f>634000/1000-3*S130</f>
        <v/>
      </c>
      <c r="U140" s="2072">
        <f>SUM(G140:S140)</f>
        <v/>
      </c>
      <c r="V140" s="1938" t="n"/>
      <c r="AD140" s="1973" t="n"/>
      <c r="AE140" s="1974" t="n"/>
      <c r="AF140" s="1974" t="n"/>
      <c r="AN140" s="1938" t="n"/>
      <c r="AO140" s="1938" t="n"/>
    </row>
    <row r="141" spans="1:41">
      <c r="B141" s="1938" t="n"/>
      <c r="C141" s="1938" t="n"/>
      <c r="D141" s="1939" t="n"/>
      <c r="E141" s="1944" t="n"/>
      <c r="F141" s="1947" t="n"/>
      <c r="G141" s="2122" t="n"/>
      <c r="H141" s="2122">
        <f>SUBTOTAL(9,H134:H140)</f>
        <v/>
      </c>
      <c r="I141" s="2122">
        <f>SUBTOTAL(9,I134:I140)</f>
        <v/>
      </c>
      <c r="J141" s="2122">
        <f>SUBTOTAL(9,J134:J140)</f>
        <v/>
      </c>
      <c r="K141" s="2122">
        <f>SUBTOTAL(9,K134:K140)</f>
        <v/>
      </c>
      <c r="L141" s="2122">
        <f>SUBTOTAL(9,L134:L140)</f>
        <v/>
      </c>
      <c r="M141" s="2123" t="n"/>
      <c r="N141" s="2122">
        <f>SUBTOTAL(9,N134:N140)</f>
        <v/>
      </c>
      <c r="O141" s="2122">
        <f>SUBTOTAL(9,O134:O140)</f>
        <v/>
      </c>
      <c r="P141" s="2122">
        <f>SUBTOTAL(9,P134:P140)</f>
        <v/>
      </c>
      <c r="Q141" s="2122">
        <f>SUBTOTAL(9,Q134:Q140)</f>
        <v/>
      </c>
      <c r="R141" s="2122">
        <f>SUBTOTAL(9,R134:R140)</f>
        <v/>
      </c>
      <c r="S141" s="2122">
        <f>SUBTOTAL(9,S134:S140)</f>
        <v/>
      </c>
      <c r="T141" s="1941" t="n"/>
      <c r="U141" s="2124" t="n"/>
      <c r="V141" s="1938" t="n"/>
      <c r="X141" s="1938" t="n"/>
      <c r="Y141" s="1938" t="n"/>
      <c r="Z141" s="1938" t="n"/>
      <c r="AA141" s="1938" t="n"/>
      <c r="AB141" s="1938" t="n"/>
      <c r="AC141" s="1938" t="n"/>
      <c r="AD141" s="1938" t="n"/>
      <c r="AE141" s="1938" t="n"/>
      <c r="AF141" s="1938" t="n"/>
      <c r="AG141" s="1938" t="n"/>
      <c r="AH141" s="1938" t="n"/>
      <c r="AI141" s="1938" t="n"/>
      <c r="AJ141" s="1938" t="n"/>
      <c r="AK141" s="1938" t="n"/>
      <c r="AL141" s="1938" t="n"/>
      <c r="AM141" s="1938" t="n"/>
      <c r="AN141" s="1938" t="n"/>
      <c r="AO141" s="1938" t="n"/>
    </row>
    <row r="142" spans="1:41">
      <c r="B142" s="1938" t="n"/>
      <c r="C142" s="1938" t="n"/>
      <c r="D142" s="1939" t="n"/>
      <c r="E142" s="1944" t="n"/>
      <c r="F142" s="1947" t="n"/>
      <c r="G142" s="2122" t="n"/>
      <c r="H142" s="2122" t="n"/>
      <c r="I142" s="2122" t="n"/>
      <c r="J142" s="2122" t="n"/>
      <c r="K142" s="2122" t="n"/>
      <c r="L142" s="2122" t="n"/>
      <c r="M142" s="2123" t="n"/>
      <c r="N142" s="2122" t="n"/>
      <c r="O142" s="2122" t="n"/>
      <c r="P142" s="2122" t="n"/>
      <c r="Q142" s="2122" t="n"/>
      <c r="R142" s="2122" t="n"/>
      <c r="S142" s="2122" t="n"/>
      <c r="T142" s="1941" t="n"/>
      <c r="U142" s="1941" t="n"/>
      <c r="V142" s="1938" t="n"/>
      <c r="X142" s="1938" t="n"/>
      <c r="Y142" s="1938" t="n"/>
      <c r="Z142" s="1938" t="n"/>
      <c r="AA142" s="1938" t="n"/>
      <c r="AB142" s="1938" t="n"/>
      <c r="AC142" s="1938" t="n"/>
      <c r="AD142" s="1938" t="n"/>
      <c r="AE142" s="1938" t="n"/>
      <c r="AF142" s="1938" t="n"/>
      <c r="AG142" s="1938" t="n"/>
      <c r="AH142" s="1938" t="n"/>
      <c r="AI142" s="1938" t="n"/>
      <c r="AJ142" s="1938" t="n"/>
      <c r="AK142" s="1938" t="n"/>
      <c r="AL142" s="1938" t="n"/>
      <c r="AM142" s="1938" t="n"/>
      <c r="AN142" s="1938" t="n"/>
      <c r="AO142" s="1938" t="n"/>
    </row>
    <row r="143" spans="1:41">
      <c r="B143" s="1938" t="n"/>
      <c r="C143" s="1938" t="n"/>
      <c r="D143" s="1939" t="n"/>
      <c r="E143" s="1938" t="n"/>
      <c r="F143" s="1940" t="n"/>
      <c r="G143" s="1940" t="n"/>
      <c r="H143" s="1941" t="n"/>
      <c r="I143" s="1941" t="n"/>
      <c r="J143" s="1941" t="n"/>
      <c r="K143" s="1941" t="n"/>
      <c r="L143" s="1942" t="n"/>
      <c r="M143" s="1942" t="n"/>
      <c r="N143" s="1943" t="n"/>
      <c r="O143" s="1941" t="n"/>
      <c r="P143" s="1941" t="n"/>
      <c r="Q143" s="1941" t="n"/>
      <c r="R143" s="1941" t="n"/>
      <c r="S143" s="1941" t="n"/>
      <c r="T143" s="1941" t="n"/>
      <c r="U143" s="1941" t="n"/>
      <c r="AB143" s="1938" t="n"/>
      <c r="AC143" s="1938" t="n"/>
      <c r="AD143" s="1938" t="n"/>
    </row>
    <row r="144" spans="1:41">
      <c r="B144" s="1938" t="n"/>
      <c r="C144" s="1938" t="n"/>
      <c r="D144" s="1939" t="n"/>
      <c r="E144" s="1938" t="n"/>
      <c r="F144" s="1940" t="n"/>
      <c r="G144" s="1940" t="n"/>
      <c r="H144" s="1941" t="n"/>
      <c r="I144" s="1941" t="n"/>
      <c r="J144" s="1941" t="n"/>
      <c r="K144" s="1941" t="n"/>
      <c r="L144" s="1942" t="n"/>
      <c r="M144" s="1942" t="n"/>
      <c r="N144" s="1943" t="n"/>
      <c r="O144" s="1941" t="n"/>
      <c r="P144" s="1941" t="n"/>
      <c r="Q144" s="1941" t="n"/>
      <c r="R144" s="1941" t="n"/>
      <c r="S144" s="1941" t="n"/>
      <c r="T144" s="1941" t="n"/>
      <c r="U144" s="1941" t="n"/>
      <c r="AB144" s="1938" t="n"/>
      <c r="AC144" s="1938" t="n"/>
      <c r="AD144" s="1938" t="n"/>
    </row>
    <row r="145" spans="1:41">
      <c r="AB145" s="1938" t="n"/>
      <c r="AC145" s="1938" t="n"/>
      <c r="AD145" s="1938" t="n"/>
    </row>
    <row r="146" spans="1:41">
      <c r="AB146" s="1938" t="n"/>
      <c r="AC146" s="1938" t="n"/>
      <c r="AD146" s="1938" t="n"/>
    </row>
    <row r="147" spans="1:41">
      <c r="AB147" s="1938" t="n"/>
      <c r="AC147" s="1938" t="n"/>
      <c r="AD147" s="1938" t="n"/>
    </row>
    <row r="148" spans="1:41">
      <c r="AB148" s="1938" t="n"/>
      <c r="AC148" s="1938" t="n"/>
      <c r="AD148" s="1938" t="n"/>
    </row>
    <row r="149" spans="1:41">
      <c r="AB149" s="1938" t="n"/>
      <c r="AC149" s="1938" t="n"/>
      <c r="AD149" s="1938" t="n"/>
    </row>
    <row r="150" spans="1:41">
      <c r="AB150" s="1938" t="n"/>
      <c r="AC150" s="1938" t="n"/>
      <c r="AD150" s="1938" t="n"/>
    </row>
    <row r="151" spans="1:41">
      <c r="AB151" s="1938" t="n"/>
      <c r="AC151" s="1938" t="n"/>
      <c r="AD151" s="1938" t="n"/>
    </row>
    <row r="152" spans="1:41">
      <c r="AB152" s="1938" t="n"/>
      <c r="AC152" s="1938" t="n"/>
      <c r="AD152" s="1938" t="n"/>
    </row>
    <row r="153" spans="1:41">
      <c r="AB153" s="1938" t="n"/>
      <c r="AC153" s="1938" t="n"/>
      <c r="AD153" s="1938" t="n"/>
    </row>
    <row r="154" spans="1:41">
      <c r="AB154" s="1938" t="n"/>
      <c r="AC154" s="1938" t="n"/>
      <c r="AD154" s="1938" t="n"/>
    </row>
    <row r="155" spans="1:41">
      <c r="AB155" s="1938" t="n"/>
      <c r="AC155" s="1938" t="n"/>
      <c r="AD155" s="1938" t="n"/>
    </row>
    <row r="156" spans="1:41">
      <c r="AB156" s="1938" t="n"/>
      <c r="AC156" s="1938" t="n"/>
      <c r="AD156" s="1938" t="n"/>
    </row>
    <row r="157" spans="1:41">
      <c r="AB157" s="1938" t="n"/>
      <c r="AC157" s="1938" t="n"/>
      <c r="AD157" s="1938" t="n"/>
    </row>
    <row r="158" spans="1:41">
      <c r="AB158" s="1938" t="n"/>
      <c r="AC158" s="1938" t="n"/>
      <c r="AD158" s="1938" t="n"/>
    </row>
    <row r="159" spans="1:41">
      <c r="AB159" s="1938" t="n"/>
      <c r="AC159" s="1938" t="n"/>
      <c r="AD159" s="1938" t="n"/>
    </row>
  </sheetData>
  <autoFilter ref="A3:AO58"/>
  <mergeCells count="3">
    <mergeCell ref="B1:F1"/>
    <mergeCell ref="A69:B71"/>
    <mergeCell ref="G2:V2"/>
  </mergeCells>
  <conditionalFormatting sqref="X4:Z6 X7:Y7 X20:Z22 X23:Y55">
    <cfRule dxfId="30" operator="equal" priority="2455" type="cellIs">
      <formula>12274</formula>
    </cfRule>
    <cfRule dxfId="29" operator="equal" priority="2456" type="cellIs">
      <formula>12124</formula>
    </cfRule>
  </conditionalFormatting>
  <conditionalFormatting sqref="B72:B74 B76 X4:Y7 X20:Y55">
    <cfRule dxfId="36" operator="equal" priority="2449" type="cellIs">
      <formula>12276</formula>
    </cfRule>
    <cfRule dxfId="35" operator="equal" priority="2450" type="cellIs">
      <formula>12273</formula>
    </cfRule>
    <cfRule dxfId="34" operator="equal" priority="2451" type="cellIs">
      <formula>12272</formula>
    </cfRule>
    <cfRule dxfId="33" operator="equal" priority="2452" type="cellIs">
      <formula>12277</formula>
    </cfRule>
    <cfRule dxfId="32" operator="equal" priority="2453" type="cellIs">
      <formula>17112</formula>
    </cfRule>
    <cfRule dxfId="29" operator="equal" priority="2454" stopIfTrue="1" type="cellIs">
      <formula>12163</formula>
    </cfRule>
  </conditionalFormatting>
  <conditionalFormatting sqref="X48:Y51">
    <cfRule dxfId="30" operator="equal" priority="2447" type="cellIs">
      <formula>12274</formula>
    </cfRule>
    <cfRule dxfId="29" operator="equal" priority="2448" type="cellIs">
      <formula>12124</formula>
    </cfRule>
    <cfRule dxfId="36" operator="equal" priority="2441" type="cellIs">
      <formula>12276</formula>
    </cfRule>
    <cfRule dxfId="35" operator="equal" priority="2442" type="cellIs">
      <formula>12273</formula>
    </cfRule>
    <cfRule dxfId="34" operator="equal" priority="2443" type="cellIs">
      <formula>12272</formula>
    </cfRule>
    <cfRule dxfId="33" operator="equal" priority="2444" type="cellIs">
      <formula>12277</formula>
    </cfRule>
    <cfRule dxfId="32" operator="equal" priority="2445" type="cellIs">
      <formula>17112</formula>
    </cfRule>
    <cfRule dxfId="29" operator="equal" priority="2446" stopIfTrue="1" type="cellIs">
      <formula>12163</formula>
    </cfRule>
  </conditionalFormatting>
  <conditionalFormatting sqref="X49:Y51">
    <cfRule dxfId="30" operator="equal" priority="2439" type="cellIs">
      <formula>12274</formula>
    </cfRule>
    <cfRule dxfId="29" operator="equal" priority="2440" type="cellIs">
      <formula>12124</formula>
    </cfRule>
    <cfRule dxfId="36" operator="equal" priority="2433" type="cellIs">
      <formula>12276</formula>
    </cfRule>
    <cfRule dxfId="35" operator="equal" priority="2434" type="cellIs">
      <formula>12273</formula>
    </cfRule>
    <cfRule dxfId="34" operator="equal" priority="2435" type="cellIs">
      <formula>12272</formula>
    </cfRule>
    <cfRule dxfId="33" operator="equal" priority="2436" type="cellIs">
      <formula>12277</formula>
    </cfRule>
    <cfRule dxfId="32" operator="equal" priority="2437" type="cellIs">
      <formula>17112</formula>
    </cfRule>
    <cfRule dxfId="29" operator="equal" priority="2438" stopIfTrue="1" type="cellIs">
      <formula>12163</formula>
    </cfRule>
  </conditionalFormatting>
  <conditionalFormatting sqref="X48:Y48">
    <cfRule dxfId="30" operator="equal" priority="2431" type="cellIs">
      <formula>12274</formula>
    </cfRule>
    <cfRule dxfId="29" operator="equal" priority="2432" type="cellIs">
      <formula>12124</formula>
    </cfRule>
    <cfRule dxfId="36" operator="equal" priority="2425" type="cellIs">
      <formula>12276</formula>
    </cfRule>
    <cfRule dxfId="35" operator="equal" priority="2426" type="cellIs">
      <formula>12273</formula>
    </cfRule>
    <cfRule dxfId="34" operator="equal" priority="2427" type="cellIs">
      <formula>12272</formula>
    </cfRule>
    <cfRule dxfId="33" operator="equal" priority="2428" type="cellIs">
      <formula>12277</formula>
    </cfRule>
    <cfRule dxfId="32" operator="equal" priority="2429" type="cellIs">
      <formula>17112</formula>
    </cfRule>
    <cfRule dxfId="29" operator="equal" priority="2430" stopIfTrue="1" type="cellIs">
      <formula>12163</formula>
    </cfRule>
  </conditionalFormatting>
  <conditionalFormatting sqref="Z24:Z26 Z28:Z30 Z40:Z42 Z36:Z38 Z44:Z46 Z48:Z50 Z52:Z55 Z32:Z34">
    <cfRule dxfId="30" operator="equal" priority="2381" type="cellIs">
      <formula>12274</formula>
    </cfRule>
    <cfRule dxfId="29" operator="equal" priority="2382" type="cellIs">
      <formula>12124</formula>
    </cfRule>
  </conditionalFormatting>
  <conditionalFormatting sqref="Z48:Z50">
    <cfRule dxfId="30" operator="equal" priority="2379" type="cellIs">
      <formula>12274</formula>
    </cfRule>
    <cfRule dxfId="29" operator="equal" priority="2380" type="cellIs">
      <formula>12124</formula>
    </cfRule>
  </conditionalFormatting>
  <conditionalFormatting sqref="Z49:Z50">
    <cfRule dxfId="30" operator="equal" priority="2377" type="cellIs">
      <formula>12274</formula>
    </cfRule>
    <cfRule dxfId="29" operator="equal" priority="2378" type="cellIs">
      <formula>12124</formula>
    </cfRule>
  </conditionalFormatting>
  <conditionalFormatting sqref="Z48">
    <cfRule dxfId="30" operator="equal" priority="2375" type="cellIs">
      <formula>12274</formula>
    </cfRule>
    <cfRule dxfId="29" operator="equal" priority="2376" type="cellIs">
      <formula>12124</formula>
    </cfRule>
  </conditionalFormatting>
  <conditionalFormatting sqref="M4:M7 A4:A7 T4:W7 M24:M51 T24:U51 V32:W51 D4:F7">
    <cfRule dxfId="0" priority="2347" type="expression">
      <formula>MOD(ROW(A12),8)&lt;4</formula>
    </cfRule>
  </conditionalFormatting>
  <conditionalFormatting sqref="B75">
    <cfRule dxfId="36" operator="equal" priority="2318" type="cellIs">
      <formula>12276</formula>
    </cfRule>
    <cfRule dxfId="35" operator="equal" priority="2319" type="cellIs">
      <formula>12273</formula>
    </cfRule>
    <cfRule dxfId="34" operator="equal" priority="2320" type="cellIs">
      <formula>12272</formula>
    </cfRule>
    <cfRule dxfId="33" operator="equal" priority="2321" type="cellIs">
      <formula>12277</formula>
    </cfRule>
    <cfRule dxfId="32" operator="equal" priority="2322" type="cellIs">
      <formula>17112</formula>
    </cfRule>
    <cfRule dxfId="29" operator="equal" priority="2323" stopIfTrue="1" type="cellIs">
      <formula>12163</formula>
    </cfRule>
  </conditionalFormatting>
  <conditionalFormatting sqref="W68:W76">
    <cfRule dxfId="36" operator="equal" priority="2312" type="cellIs">
      <formula>12276</formula>
    </cfRule>
    <cfRule dxfId="35" operator="equal" priority="2313" type="cellIs">
      <formula>12273</formula>
    </cfRule>
    <cfRule dxfId="34" operator="equal" priority="2314" type="cellIs">
      <formula>12272</formula>
    </cfRule>
    <cfRule dxfId="33" operator="equal" priority="2315" type="cellIs">
      <formula>12277</formula>
    </cfRule>
    <cfRule dxfId="32" operator="equal" priority="2316" type="cellIs">
      <formula>17112</formula>
    </cfRule>
    <cfRule dxfId="29" operator="equal" priority="2317" stopIfTrue="1" type="cellIs">
      <formula>12163</formula>
    </cfRule>
  </conditionalFormatting>
  <conditionalFormatting sqref="D52:F52 D54:F55 D53:E53">
    <cfRule dxfId="0" priority="1942" type="expression">
      <formula>MOD(ROW(#REF!),8)&lt;4</formula>
    </cfRule>
  </conditionalFormatting>
  <conditionalFormatting sqref="D24:F24 D26:F27 D25:E25">
    <cfRule dxfId="0" priority="1936" type="expression">
      <formula>MOD(ROW(D32),8)&lt;4</formula>
    </cfRule>
  </conditionalFormatting>
  <conditionalFormatting sqref="D28:F28 D30:F31 D29:E29">
    <cfRule dxfId="0" priority="1935" type="expression">
      <formula>MOD(ROW(D36),8)&lt;4</formula>
    </cfRule>
  </conditionalFormatting>
  <conditionalFormatting sqref="D32:F32 D34:F35 D33:E33">
    <cfRule dxfId="0" priority="1934" type="expression">
      <formula>MOD(ROW(D40),8)&lt;4</formula>
    </cfRule>
  </conditionalFormatting>
  <conditionalFormatting sqref="D36:F39">
    <cfRule dxfId="0" priority="1933" type="expression">
      <formula>MOD(ROW(D44),8)&lt;4</formula>
    </cfRule>
  </conditionalFormatting>
  <conditionalFormatting sqref="D40:F40 D42:F43 D41:E41">
    <cfRule dxfId="0" priority="1932" type="expression">
      <formula>MOD(ROW(D48),8)&lt;4</formula>
    </cfRule>
  </conditionalFormatting>
  <conditionalFormatting sqref="D44:F44 D46:F47 D45:E45">
    <cfRule dxfId="0" priority="1931" type="expression">
      <formula>MOD(ROW(D52),8)&lt;4</formula>
    </cfRule>
  </conditionalFormatting>
  <conditionalFormatting sqref="D48:F48 D50:F51 D49:E49">
    <cfRule dxfId="0" priority="1930" type="expression">
      <formula>MOD(ROW(D56),8)&lt;4</formula>
    </cfRule>
  </conditionalFormatting>
  <conditionalFormatting sqref="V24:V27">
    <cfRule dxfId="0" priority="1628" type="expression">
      <formula>MOD(ROW(V32),8)&lt;4</formula>
    </cfRule>
  </conditionalFormatting>
  <conditionalFormatting sqref="V28:V31">
    <cfRule dxfId="0" priority="1627" type="expression">
      <formula>MOD(ROW(V36),8)&lt;4</formula>
    </cfRule>
  </conditionalFormatting>
  <conditionalFormatting sqref="W28:W31">
    <cfRule dxfId="0" priority="592" type="expression">
      <formula>MOD(ROW(W36),8)&lt;4</formula>
    </cfRule>
  </conditionalFormatting>
  <conditionalFormatting sqref="W24:W27">
    <cfRule dxfId="0" priority="593" type="expression">
      <formula>MOD(ROW(W32),8)&lt;4</formula>
    </cfRule>
  </conditionalFormatting>
  <conditionalFormatting sqref="I24 I26">
    <cfRule dxfId="0" priority="362" type="expression">
      <formula>MOD(ROW(I32),8)&lt;4</formula>
    </cfRule>
  </conditionalFormatting>
  <conditionalFormatting sqref="J24 J26">
    <cfRule dxfId="0" priority="361" type="expression">
      <formula>MOD(ROW(J32),8)&lt;4</formula>
    </cfRule>
  </conditionalFormatting>
  <conditionalFormatting sqref="H44:L44 H52:L52">
    <cfRule dxfId="0" priority="332" type="expression">
      <formula>MOD(ROW(H52),8)&lt;4</formula>
    </cfRule>
  </conditionalFormatting>
  <conditionalFormatting sqref="G6:H7 G5">
    <cfRule dxfId="0" priority="331" type="expression">
      <formula>MOD(ROW(G13),8)&lt;4</formula>
    </cfRule>
  </conditionalFormatting>
  <conditionalFormatting sqref="L6">
    <cfRule dxfId="0" priority="330" type="expression">
      <formula>MOD(ROW(L14),8)&lt;4</formula>
    </cfRule>
  </conditionalFormatting>
  <conditionalFormatting sqref="L38">
    <cfRule dxfId="0" priority="373" type="expression">
      <formula>MOD(ROW(L46),8)&lt;4</formula>
    </cfRule>
  </conditionalFormatting>
  <conditionalFormatting sqref="K24 K26">
    <cfRule dxfId="0" priority="360" type="expression">
      <formula>MOD(ROW(K32),8)&lt;4</formula>
    </cfRule>
  </conditionalFormatting>
  <conditionalFormatting sqref="I27">
    <cfRule dxfId="0" priority="359" type="expression">
      <formula>MOD(ROW(I35),8)&lt;4</formula>
    </cfRule>
  </conditionalFormatting>
  <conditionalFormatting sqref="H37:L37">
    <cfRule dxfId="0" priority="356" type="expression">
      <formula>MOD(ROW(H45),8)&lt;4</formula>
    </cfRule>
  </conditionalFormatting>
  <conditionalFormatting sqref="J27">
    <cfRule dxfId="0" priority="358" type="expression">
      <formula>MOD(ROW(J35),8)&lt;4</formula>
    </cfRule>
  </conditionalFormatting>
  <conditionalFormatting sqref="K27">
    <cfRule dxfId="0" priority="357" type="expression">
      <formula>MOD(ROW(K35),8)&lt;4</formula>
    </cfRule>
  </conditionalFormatting>
  <conditionalFormatting sqref="G36">
    <cfRule dxfId="0" priority="355" type="expression">
      <formula>MOD(ROW(G44),8)&lt;4</formula>
    </cfRule>
  </conditionalFormatting>
  <conditionalFormatting sqref="H36:L36">
    <cfRule dxfId="0" priority="354" type="expression">
      <formula>MOD(ROW(H44),8)&lt;4</formula>
    </cfRule>
  </conditionalFormatting>
  <conditionalFormatting sqref="H25:L25">
    <cfRule dxfId="0" priority="353" type="expression">
      <formula>MOD(ROW(H33),8)&lt;4</formula>
    </cfRule>
  </conditionalFormatting>
  <conditionalFormatting sqref="G46:H47 G54:H55 G53 G45:L45">
    <cfRule dxfId="0" priority="352" type="expression">
      <formula>MOD(ROW(G53),8)&lt;4</formula>
    </cfRule>
  </conditionalFormatting>
  <conditionalFormatting sqref="L46 L54">
    <cfRule dxfId="0" priority="351" type="expression">
      <formula>MOD(ROW(L54),8)&lt;4</formula>
    </cfRule>
  </conditionalFormatting>
  <conditionalFormatting sqref="M20:M23 A20:A59 T20:W23 D20:F23">
    <cfRule dxfId="0" priority="2495" type="expression">
      <formula>MOD(ROW(#REF!),8)&lt;4</formula>
    </cfRule>
  </conditionalFormatting>
  <conditionalFormatting sqref="X60:Y67">
    <cfRule dxfId="30" operator="equal" priority="431" type="cellIs">
      <formula>12274</formula>
    </cfRule>
    <cfRule dxfId="29" operator="equal" priority="432" type="cellIs">
      <formula>12124</formula>
    </cfRule>
  </conditionalFormatting>
  <conditionalFormatting sqref="M52:M55 T52:W55">
    <cfRule dxfId="0" priority="2496" type="expression">
      <formula>MOD(ROW(#REF!),8)&lt;4</formula>
    </cfRule>
  </conditionalFormatting>
  <conditionalFormatting sqref="I38">
    <cfRule dxfId="0" priority="372" type="expression">
      <formula>MOD(ROW(I46),8)&lt;4</formula>
    </cfRule>
  </conditionalFormatting>
  <conditionalFormatting sqref="J38">
    <cfRule dxfId="0" priority="371" type="expression">
      <formula>MOD(ROW(J46),8)&lt;4</formula>
    </cfRule>
  </conditionalFormatting>
  <conditionalFormatting sqref="K38">
    <cfRule dxfId="0" priority="370" type="expression">
      <formula>MOD(ROW(K46),8)&lt;4</formula>
    </cfRule>
  </conditionalFormatting>
  <conditionalFormatting sqref="L39">
    <cfRule dxfId="0" priority="369" type="expression">
      <formula>MOD(ROW(L47),8)&lt;4</formula>
    </cfRule>
  </conditionalFormatting>
  <conditionalFormatting sqref="I39">
    <cfRule dxfId="0" priority="368" type="expression">
      <formula>MOD(ROW(I47),8)&lt;4</formula>
    </cfRule>
  </conditionalFormatting>
  <conditionalFormatting sqref="J39">
    <cfRule dxfId="0" priority="367" type="expression">
      <formula>MOD(ROW(J47),8)&lt;4</formula>
    </cfRule>
  </conditionalFormatting>
  <conditionalFormatting sqref="K39">
    <cfRule dxfId="0" priority="366" type="expression">
      <formula>MOD(ROW(K47),8)&lt;4</formula>
    </cfRule>
  </conditionalFormatting>
  <conditionalFormatting sqref="G24:G27">
    <cfRule dxfId="0" priority="365" type="expression">
      <formula>MOD(ROW(G32),8)&lt;4</formula>
    </cfRule>
  </conditionalFormatting>
  <conditionalFormatting sqref="L24 L26:L27">
    <cfRule dxfId="0" priority="364" type="expression">
      <formula>MOD(ROW(L32),8)&lt;4</formula>
    </cfRule>
  </conditionalFormatting>
  <conditionalFormatting sqref="H24 H26:H27">
    <cfRule dxfId="0" priority="363" type="expression">
      <formula>MOD(ROW(H32),8)&lt;4</formula>
    </cfRule>
  </conditionalFormatting>
  <conditionalFormatting sqref="I46 I54">
    <cfRule dxfId="0" priority="350" type="expression">
      <formula>MOD(ROW(I54),8)&lt;4</formula>
    </cfRule>
  </conditionalFormatting>
  <conditionalFormatting sqref="G38:H39 G37">
    <cfRule dxfId="0" priority="374" type="expression">
      <formula>MOD(ROW(G45),8)&lt;4</formula>
    </cfRule>
  </conditionalFormatting>
  <conditionalFormatting sqref="J46 J54">
    <cfRule dxfId="0" priority="349" type="expression">
      <formula>MOD(ROW(J54),8)&lt;4</formula>
    </cfRule>
  </conditionalFormatting>
  <conditionalFormatting sqref="K46 K54">
    <cfRule dxfId="0" priority="348" type="expression">
      <formula>MOD(ROW(K54),8)&lt;4</formula>
    </cfRule>
  </conditionalFormatting>
  <conditionalFormatting sqref="L47 L55">
    <cfRule dxfId="0" priority="347" type="expression">
      <formula>MOD(ROW(L55),8)&lt;4</formula>
    </cfRule>
  </conditionalFormatting>
  <conditionalFormatting sqref="I47 I55">
    <cfRule dxfId="0" priority="346" type="expression">
      <formula>MOD(ROW(I55),8)&lt;4</formula>
    </cfRule>
  </conditionalFormatting>
  <conditionalFormatting sqref="J47 J55">
    <cfRule dxfId="0" priority="345" type="expression">
      <formula>MOD(ROW(J55),8)&lt;4</formula>
    </cfRule>
  </conditionalFormatting>
  <conditionalFormatting sqref="K47 K55">
    <cfRule dxfId="0" priority="344" type="expression">
      <formula>MOD(ROW(K55),8)&lt;4</formula>
    </cfRule>
  </conditionalFormatting>
  <conditionalFormatting sqref="G48:G51 H49:L49">
    <cfRule dxfId="0" priority="343" type="expression">
      <formula>MOD(ROW(G56),8)&lt;4</formula>
    </cfRule>
  </conditionalFormatting>
  <conditionalFormatting sqref="L48 L50:L51">
    <cfRule dxfId="0" priority="342" type="expression">
      <formula>MOD(ROW(L56),8)&lt;4</formula>
    </cfRule>
  </conditionalFormatting>
  <conditionalFormatting sqref="H48 H50:H51">
    <cfRule dxfId="0" priority="341" type="expression">
      <formula>MOD(ROW(H56),8)&lt;4</formula>
    </cfRule>
  </conditionalFormatting>
  <conditionalFormatting sqref="K48 K50">
    <cfRule dxfId="0" priority="338" type="expression">
      <formula>MOD(ROW(K56),8)&lt;4</formula>
    </cfRule>
  </conditionalFormatting>
  <conditionalFormatting sqref="I48 I50">
    <cfRule dxfId="0" priority="340" type="expression">
      <formula>MOD(ROW(I56),8)&lt;4</formula>
    </cfRule>
  </conditionalFormatting>
  <conditionalFormatting sqref="J48 J50">
    <cfRule dxfId="0" priority="339" type="expression">
      <formula>MOD(ROW(J56),8)&lt;4</formula>
    </cfRule>
  </conditionalFormatting>
  <conditionalFormatting sqref="I51">
    <cfRule dxfId="0" priority="337" type="expression">
      <formula>MOD(ROW(I59),8)&lt;4</formula>
    </cfRule>
  </conditionalFormatting>
  <conditionalFormatting sqref="J51">
    <cfRule dxfId="0" priority="336" type="expression">
      <formula>MOD(ROW(J59),8)&lt;4</formula>
    </cfRule>
  </conditionalFormatting>
  <conditionalFormatting sqref="K51">
    <cfRule dxfId="0" priority="335" type="expression">
      <formula>MOD(ROW(K59),8)&lt;4</formula>
    </cfRule>
  </conditionalFormatting>
  <conditionalFormatting sqref="H53:L53">
    <cfRule dxfId="0" priority="334" type="expression">
      <formula>MOD(ROW(H61),8)&lt;4</formula>
    </cfRule>
  </conditionalFormatting>
  <conditionalFormatting sqref="G44 G52">
    <cfRule dxfId="0" priority="333" type="expression">
      <formula>MOD(ROW(G52),8)&lt;4</formula>
    </cfRule>
  </conditionalFormatting>
  <conditionalFormatting sqref="I6">
    <cfRule dxfId="0" priority="329" type="expression">
      <formula>MOD(ROW(I14),8)&lt;4</formula>
    </cfRule>
  </conditionalFormatting>
  <conditionalFormatting sqref="J6">
    <cfRule dxfId="0" priority="328" type="expression">
      <formula>MOD(ROW(J14),8)&lt;4</formula>
    </cfRule>
  </conditionalFormatting>
  <conditionalFormatting sqref="K6">
    <cfRule dxfId="0" priority="327" type="expression">
      <formula>MOD(ROW(K14),8)&lt;4</formula>
    </cfRule>
  </conditionalFormatting>
  <conditionalFormatting sqref="L7">
    <cfRule dxfId="0" priority="326" type="expression">
      <formula>MOD(ROW(L15),8)&lt;4</formula>
    </cfRule>
  </conditionalFormatting>
  <conditionalFormatting sqref="I7">
    <cfRule dxfId="0" priority="325" type="expression">
      <formula>MOD(ROW(I15),8)&lt;4</formula>
    </cfRule>
  </conditionalFormatting>
  <conditionalFormatting sqref="J7">
    <cfRule dxfId="0" priority="324" type="expression">
      <formula>MOD(ROW(J15),8)&lt;4</formula>
    </cfRule>
  </conditionalFormatting>
  <conditionalFormatting sqref="K7">
    <cfRule dxfId="0" priority="323" type="expression">
      <formula>MOD(ROW(K15),8)&lt;4</formula>
    </cfRule>
  </conditionalFormatting>
  <conditionalFormatting sqref="H5:L5">
    <cfRule dxfId="0" priority="322" type="expression">
      <formula>MOD(ROW(H13),8)&lt;4</formula>
    </cfRule>
  </conditionalFormatting>
  <conditionalFormatting sqref="G4">
    <cfRule dxfId="0" priority="321" type="expression">
      <formula>MOD(ROW(G12),8)&lt;4</formula>
    </cfRule>
  </conditionalFormatting>
  <conditionalFormatting sqref="H4:L4">
    <cfRule dxfId="0" priority="320" type="expression">
      <formula>MOD(ROW(H12),8)&lt;4</formula>
    </cfRule>
  </conditionalFormatting>
  <conditionalFormatting sqref="I30">
    <cfRule dxfId="0" priority="317" type="expression">
      <formula>MOD(ROW(I38),8)&lt;4</formula>
    </cfRule>
  </conditionalFormatting>
  <conditionalFormatting sqref="J30">
    <cfRule dxfId="0" priority="316" type="expression">
      <formula>MOD(ROW(J38),8)&lt;4</formula>
    </cfRule>
  </conditionalFormatting>
  <conditionalFormatting sqref="K30">
    <cfRule dxfId="0" priority="315" type="expression">
      <formula>MOD(ROW(K38),8)&lt;4</formula>
    </cfRule>
  </conditionalFormatting>
  <conditionalFormatting sqref="L31">
    <cfRule dxfId="0" priority="314" type="expression">
      <formula>MOD(ROW(L39),8)&lt;4</formula>
    </cfRule>
  </conditionalFormatting>
  <conditionalFormatting sqref="I31">
    <cfRule dxfId="0" priority="313" type="expression">
      <formula>MOD(ROW(I39),8)&lt;4</formula>
    </cfRule>
  </conditionalFormatting>
  <conditionalFormatting sqref="J31">
    <cfRule dxfId="0" priority="312" type="expression">
      <formula>MOD(ROW(J39),8)&lt;4</formula>
    </cfRule>
  </conditionalFormatting>
  <conditionalFormatting sqref="K31">
    <cfRule dxfId="0" priority="311" type="expression">
      <formula>MOD(ROW(K39),8)&lt;4</formula>
    </cfRule>
  </conditionalFormatting>
  <conditionalFormatting sqref="H29:L29">
    <cfRule dxfId="0" priority="310" type="expression">
      <formula>MOD(ROW(H37),8)&lt;4</formula>
    </cfRule>
  </conditionalFormatting>
  <conditionalFormatting sqref="G28">
    <cfRule dxfId="0" priority="309" type="expression">
      <formula>MOD(ROW(G36),8)&lt;4</formula>
    </cfRule>
  </conditionalFormatting>
  <conditionalFormatting sqref="H28:L28">
    <cfRule dxfId="0" priority="308" type="expression">
      <formula>MOD(ROW(H36),8)&lt;4</formula>
    </cfRule>
  </conditionalFormatting>
  <conditionalFormatting sqref="G30:H31 G29">
    <cfRule dxfId="0" priority="319" type="expression">
      <formula>MOD(ROW(G37),8)&lt;4</formula>
    </cfRule>
  </conditionalFormatting>
  <conditionalFormatting sqref="L30">
    <cfRule dxfId="0" priority="318" type="expression">
      <formula>MOD(ROW(L38),8)&lt;4</formula>
    </cfRule>
  </conditionalFormatting>
  <conditionalFormatting sqref="G32:G34">
    <cfRule dxfId="0" priority="307" type="expression">
      <formula>MOD(ROW(G40),8)&lt;4</formula>
    </cfRule>
  </conditionalFormatting>
  <conditionalFormatting sqref="L32 L34">
    <cfRule dxfId="0" priority="306" type="expression">
      <formula>MOD(ROW(L40),8)&lt;4</formula>
    </cfRule>
  </conditionalFormatting>
  <conditionalFormatting sqref="H32 H34">
    <cfRule dxfId="0" priority="305" type="expression">
      <formula>MOD(ROW(H40),8)&lt;4</formula>
    </cfRule>
  </conditionalFormatting>
  <conditionalFormatting sqref="K32 K34">
    <cfRule dxfId="0" priority="302" type="expression">
      <formula>MOD(ROW(K40),8)&lt;4</formula>
    </cfRule>
  </conditionalFormatting>
  <conditionalFormatting sqref="I32 I34">
    <cfRule dxfId="0" priority="304" type="expression">
      <formula>MOD(ROW(I40),8)&lt;4</formula>
    </cfRule>
  </conditionalFormatting>
  <conditionalFormatting sqref="J32 J34">
    <cfRule dxfId="0" priority="303" type="expression">
      <formula>MOD(ROW(J40),8)&lt;4</formula>
    </cfRule>
  </conditionalFormatting>
  <conditionalFormatting sqref="H33:L33">
    <cfRule dxfId="0" priority="301" type="expression">
      <formula>MOD(ROW(H41),8)&lt;4</formula>
    </cfRule>
  </conditionalFormatting>
  <conditionalFormatting sqref="G35">
    <cfRule dxfId="0" priority="300" type="expression">
      <formula>MOD(ROW(G43),8)&lt;4</formula>
    </cfRule>
  </conditionalFormatting>
  <conditionalFormatting sqref="L35">
    <cfRule dxfId="0" priority="299" type="expression">
      <formula>MOD(ROW(L43),8)&lt;4</formula>
    </cfRule>
  </conditionalFormatting>
  <conditionalFormatting sqref="H35">
    <cfRule dxfId="0" priority="298" type="expression">
      <formula>MOD(ROW(H43),8)&lt;4</formula>
    </cfRule>
  </conditionalFormatting>
  <conditionalFormatting sqref="I35">
    <cfRule dxfId="0" priority="297" type="expression">
      <formula>MOD(ROW(I43),8)&lt;4</formula>
    </cfRule>
  </conditionalFormatting>
  <conditionalFormatting sqref="J35">
    <cfRule dxfId="0" priority="296" type="expression">
      <formula>MOD(ROW(J43),8)&lt;4</formula>
    </cfRule>
  </conditionalFormatting>
  <conditionalFormatting sqref="K35">
    <cfRule dxfId="0" priority="295" type="expression">
      <formula>MOD(ROW(K43),8)&lt;4</formula>
    </cfRule>
  </conditionalFormatting>
  <conditionalFormatting sqref="G40:G43">
    <cfRule dxfId="0" priority="294" type="expression">
      <formula>MOD(ROW(G48),8)&lt;4</formula>
    </cfRule>
  </conditionalFormatting>
  <conditionalFormatting sqref="L40 L42:L43">
    <cfRule dxfId="0" priority="293" type="expression">
      <formula>MOD(ROW(L48),8)&lt;4</formula>
    </cfRule>
  </conditionalFormatting>
  <conditionalFormatting sqref="H40 H42:H43">
    <cfRule dxfId="0" priority="292" type="expression">
      <formula>MOD(ROW(H48),8)&lt;4</formula>
    </cfRule>
  </conditionalFormatting>
  <conditionalFormatting sqref="K40 K42">
    <cfRule dxfId="0" priority="289" type="expression">
      <formula>MOD(ROW(K48),8)&lt;4</formula>
    </cfRule>
  </conditionalFormatting>
  <conditionalFormatting sqref="I40 I42">
    <cfRule dxfId="0" priority="291" type="expression">
      <formula>MOD(ROW(I48),8)&lt;4</formula>
    </cfRule>
  </conditionalFormatting>
  <conditionalFormatting sqref="J40 J42">
    <cfRule dxfId="0" priority="290" type="expression">
      <formula>MOD(ROW(J48),8)&lt;4</formula>
    </cfRule>
  </conditionalFormatting>
  <conditionalFormatting sqref="I43">
    <cfRule dxfId="0" priority="288" type="expression">
      <formula>MOD(ROW(I51),8)&lt;4</formula>
    </cfRule>
  </conditionalFormatting>
  <conditionalFormatting sqref="J43">
    <cfRule dxfId="0" priority="287" type="expression">
      <formula>MOD(ROW(J51),8)&lt;4</formula>
    </cfRule>
  </conditionalFormatting>
  <conditionalFormatting sqref="K43">
    <cfRule dxfId="0" priority="286" type="expression">
      <formula>MOD(ROW(K51),8)&lt;4</formula>
    </cfRule>
  </conditionalFormatting>
  <conditionalFormatting sqref="H41:L41">
    <cfRule dxfId="0" priority="285" type="expression">
      <formula>MOD(ROW(H49),8)&lt;4</formula>
    </cfRule>
  </conditionalFormatting>
  <conditionalFormatting sqref="G56:G59">
    <cfRule dxfId="0" priority="284" type="expression">
      <formula>MOD(ROW(G64),8)&lt;4</formula>
    </cfRule>
  </conditionalFormatting>
  <conditionalFormatting sqref="L56 L58:L59">
    <cfRule dxfId="0" priority="283" type="expression">
      <formula>MOD(ROW(L64),8)&lt;4</formula>
    </cfRule>
  </conditionalFormatting>
  <conditionalFormatting sqref="H56 H58:H59">
    <cfRule dxfId="0" priority="282" type="expression">
      <formula>MOD(ROW(H64),8)&lt;4</formula>
    </cfRule>
  </conditionalFormatting>
  <conditionalFormatting sqref="K56 K58">
    <cfRule dxfId="0" priority="279" type="expression">
      <formula>MOD(ROW(K64),8)&lt;4</formula>
    </cfRule>
  </conditionalFormatting>
  <conditionalFormatting sqref="I56 I58">
    <cfRule dxfId="0" priority="281" type="expression">
      <formula>MOD(ROW(I64),8)&lt;4</formula>
    </cfRule>
  </conditionalFormatting>
  <conditionalFormatting sqref="J56 J58">
    <cfRule dxfId="0" priority="280" type="expression">
      <formula>MOD(ROW(J64),8)&lt;4</formula>
    </cfRule>
  </conditionalFormatting>
  <conditionalFormatting sqref="I59">
    <cfRule dxfId="0" priority="278" type="expression">
      <formula>MOD(ROW(I67),8)&lt;4</formula>
    </cfRule>
  </conditionalFormatting>
  <conditionalFormatting sqref="J59">
    <cfRule dxfId="0" priority="277" type="expression">
      <formula>MOD(ROW(J67),8)&lt;4</formula>
    </cfRule>
  </conditionalFormatting>
  <conditionalFormatting sqref="K59">
    <cfRule dxfId="0" priority="276" type="expression">
      <formula>MOD(ROW(K67),8)&lt;4</formula>
    </cfRule>
  </conditionalFormatting>
  <conditionalFormatting sqref="H57:L57">
    <cfRule dxfId="0" priority="275" type="expression">
      <formula>MOD(ROW(H65),8)&lt;4</formula>
    </cfRule>
  </conditionalFormatting>
  <conditionalFormatting sqref="G20:L23">
    <cfRule dxfId="0" priority="375" type="expression">
      <formula>MOD(ROW(#REF!),8)&lt;4</formula>
    </cfRule>
  </conditionalFormatting>
  <conditionalFormatting sqref="W3">
    <cfRule dxfId="30" operator="equal" priority="273" type="cellIs">
      <formula>12274</formula>
    </cfRule>
    <cfRule dxfId="29" operator="equal" priority="274" type="cellIs">
      <formula>12124</formula>
    </cfRule>
  </conditionalFormatting>
  <conditionalFormatting sqref="N36 N38">
    <cfRule dxfId="0" priority="269" type="expression">
      <formula>MOD(ROW(N44),8)&lt;4</formula>
    </cfRule>
  </conditionalFormatting>
  <conditionalFormatting sqref="N39">
    <cfRule dxfId="0" priority="268" type="expression">
      <formula>MOD(ROW(N47),8)&lt;4</formula>
    </cfRule>
  </conditionalFormatting>
  <conditionalFormatting sqref="S38">
    <cfRule dxfId="0" priority="264" type="expression">
      <formula>MOD(ROW(S46),8)&lt;4</formula>
    </cfRule>
  </conditionalFormatting>
  <conditionalFormatting sqref="O38">
    <cfRule dxfId="0" priority="267" type="expression">
      <formula>MOD(ROW(O46),8)&lt;4</formula>
    </cfRule>
  </conditionalFormatting>
  <conditionalFormatting sqref="O39">
    <cfRule dxfId="0" priority="266" type="expression">
      <formula>MOD(ROW(O47),8)&lt;4</formula>
    </cfRule>
  </conditionalFormatting>
  <conditionalFormatting sqref="R38">
    <cfRule dxfId="0" priority="265" type="expression">
      <formula>MOD(ROW(R46),8)&lt;4</formula>
    </cfRule>
  </conditionalFormatting>
  <conditionalFormatting sqref="R39">
    <cfRule dxfId="0" priority="263" type="expression">
      <formula>MOD(ROW(R47),8)&lt;4</formula>
    </cfRule>
  </conditionalFormatting>
  <conditionalFormatting sqref="O24 O26 S24 S26:S27">
    <cfRule dxfId="0" priority="261" type="expression">
      <formula>MOD(ROW(O32),8)&lt;4</formula>
    </cfRule>
  </conditionalFormatting>
  <conditionalFormatting sqref="P24 P26">
    <cfRule dxfId="0" priority="260" type="expression">
      <formula>MOD(ROW(P32),8)&lt;4</formula>
    </cfRule>
  </conditionalFormatting>
  <conditionalFormatting sqref="Q24 Q26">
    <cfRule dxfId="0" priority="259" type="expression">
      <formula>MOD(ROW(Q32),8)&lt;4</formula>
    </cfRule>
  </conditionalFormatting>
  <conditionalFormatting sqref="R24 R26">
    <cfRule dxfId="0" priority="258" type="expression">
      <formula>MOD(ROW(R32),8)&lt;4</formula>
    </cfRule>
  </conditionalFormatting>
  <conditionalFormatting sqref="Q27">
    <cfRule dxfId="0" priority="256" type="expression">
      <formula>MOD(ROW(Q35),8)&lt;4</formula>
    </cfRule>
  </conditionalFormatting>
  <conditionalFormatting sqref="R27">
    <cfRule dxfId="0" priority="255" type="expression">
      <formula>MOD(ROW(R35),8)&lt;4</formula>
    </cfRule>
  </conditionalFormatting>
  <conditionalFormatting sqref="N24 N26">
    <cfRule dxfId="0" priority="254" type="expression">
      <formula>MOD(ROW(N32),8)&lt;4</formula>
    </cfRule>
  </conditionalFormatting>
  <conditionalFormatting sqref="N27">
    <cfRule dxfId="0" priority="253" type="expression">
      <formula>MOD(ROW(N35),8)&lt;4</formula>
    </cfRule>
  </conditionalFormatting>
  <conditionalFormatting sqref="O27">
    <cfRule dxfId="0" priority="252" type="expression">
      <formula>MOD(ROW(O35),8)&lt;4</formula>
    </cfRule>
  </conditionalFormatting>
  <conditionalFormatting sqref="N37">
    <cfRule dxfId="0" priority="251" type="expression">
      <formula>MOD(ROW(N45),8)&lt;4</formula>
    </cfRule>
  </conditionalFormatting>
  <conditionalFormatting sqref="O37:S37">
    <cfRule dxfId="0" priority="250" type="expression">
      <formula>MOD(ROW(O45),8)&lt;4</formula>
    </cfRule>
  </conditionalFormatting>
  <conditionalFormatting sqref="O36:S36">
    <cfRule dxfId="0" priority="249" type="expression">
      <formula>MOD(ROW(O44),8)&lt;4</formula>
    </cfRule>
  </conditionalFormatting>
  <conditionalFormatting sqref="N25:S25">
    <cfRule dxfId="0" priority="248" type="expression">
      <formula>MOD(ROW(N33),8)&lt;4</formula>
    </cfRule>
  </conditionalFormatting>
  <conditionalFormatting sqref="P38:Q39">
    <cfRule dxfId="0" priority="270" type="expression">
      <formula>MOD(ROW(P46),8)&lt;4</formula>
    </cfRule>
  </conditionalFormatting>
  <conditionalFormatting sqref="S39">
    <cfRule dxfId="0" priority="262" type="expression">
      <formula>MOD(ROW(S47),8)&lt;4</formula>
    </cfRule>
  </conditionalFormatting>
  <conditionalFormatting sqref="P27">
    <cfRule dxfId="0" priority="257" type="expression">
      <formula>MOD(ROW(P35),8)&lt;4</formula>
    </cfRule>
  </conditionalFormatting>
  <conditionalFormatting sqref="N44 N52 N46 N54">
    <cfRule dxfId="0" priority="246" type="expression">
      <formula>MOD(ROW(N52),8)&lt;4</formula>
    </cfRule>
  </conditionalFormatting>
  <conditionalFormatting sqref="N47 N55">
    <cfRule dxfId="0" priority="245" type="expression">
      <formula>MOD(ROW(N55),8)&lt;4</formula>
    </cfRule>
  </conditionalFormatting>
  <conditionalFormatting sqref="S46 S54">
    <cfRule dxfId="0" priority="241" type="expression">
      <formula>MOD(ROW(S54),8)&lt;4</formula>
    </cfRule>
  </conditionalFormatting>
  <conditionalFormatting sqref="O46 O54">
    <cfRule dxfId="0" priority="244" type="expression">
      <formula>MOD(ROW(O54),8)&lt;4</formula>
    </cfRule>
  </conditionalFormatting>
  <conditionalFormatting sqref="O47 O55">
    <cfRule dxfId="0" priority="243" type="expression">
      <formula>MOD(ROW(O55),8)&lt;4</formula>
    </cfRule>
  </conditionalFormatting>
  <conditionalFormatting sqref="R46 R54">
    <cfRule dxfId="0" priority="242" type="expression">
      <formula>MOD(ROW(R54),8)&lt;4</formula>
    </cfRule>
  </conditionalFormatting>
  <conditionalFormatting sqref="R47 R55">
    <cfRule dxfId="0" priority="240" type="expression">
      <formula>MOD(ROW(R55),8)&lt;4</formula>
    </cfRule>
  </conditionalFormatting>
  <conditionalFormatting sqref="O48 O50 S48 S50:S51">
    <cfRule dxfId="0" priority="238" type="expression">
      <formula>MOD(ROW(O56),8)&lt;4</formula>
    </cfRule>
  </conditionalFormatting>
  <conditionalFormatting sqref="P48 P50">
    <cfRule dxfId="0" priority="237" type="expression">
      <formula>MOD(ROW(P56),8)&lt;4</formula>
    </cfRule>
  </conditionalFormatting>
  <conditionalFormatting sqref="Q48 Q50">
    <cfRule dxfId="0" priority="236" type="expression">
      <formula>MOD(ROW(Q56),8)&lt;4</formula>
    </cfRule>
  </conditionalFormatting>
  <conditionalFormatting sqref="R48 R50">
    <cfRule dxfId="0" priority="235" type="expression">
      <formula>MOD(ROW(R56),8)&lt;4</formula>
    </cfRule>
  </conditionalFormatting>
  <conditionalFormatting sqref="Q51">
    <cfRule dxfId="0" priority="233" type="expression">
      <formula>MOD(ROW(Q59),8)&lt;4</formula>
    </cfRule>
  </conditionalFormatting>
  <conditionalFormatting sqref="R51">
    <cfRule dxfId="0" priority="232" type="expression">
      <formula>MOD(ROW(R59),8)&lt;4</formula>
    </cfRule>
  </conditionalFormatting>
  <conditionalFormatting sqref="N48 N50">
    <cfRule dxfId="0" priority="231" type="expression">
      <formula>MOD(ROW(N56),8)&lt;4</formula>
    </cfRule>
  </conditionalFormatting>
  <conditionalFormatting sqref="N51">
    <cfRule dxfId="0" priority="230" type="expression">
      <formula>MOD(ROW(N59),8)&lt;4</formula>
    </cfRule>
  </conditionalFormatting>
  <conditionalFormatting sqref="O51">
    <cfRule dxfId="0" priority="229" type="expression">
      <formula>MOD(ROW(O59),8)&lt;4</formula>
    </cfRule>
  </conditionalFormatting>
  <conditionalFormatting sqref="N53 N45:S45">
    <cfRule dxfId="0" priority="228" type="expression">
      <formula>MOD(ROW(N53),8)&lt;4</formula>
    </cfRule>
  </conditionalFormatting>
  <conditionalFormatting sqref="O53:S53">
    <cfRule dxfId="0" priority="227" type="expression">
      <formula>MOD(ROW(O61),8)&lt;4</formula>
    </cfRule>
  </conditionalFormatting>
  <conditionalFormatting sqref="O44:S44 O52:S52">
    <cfRule dxfId="0" priority="226" type="expression">
      <formula>MOD(ROW(O52),8)&lt;4</formula>
    </cfRule>
  </conditionalFormatting>
  <conditionalFormatting sqref="N49:S49">
    <cfRule dxfId="0" priority="225" type="expression">
      <formula>MOD(ROW(N57),8)&lt;4</formula>
    </cfRule>
  </conditionalFormatting>
  <conditionalFormatting sqref="P46:Q47 P54:Q55">
    <cfRule dxfId="0" priority="247" type="expression">
      <formula>MOD(ROW(P54),8)&lt;4</formula>
    </cfRule>
  </conditionalFormatting>
  <conditionalFormatting sqref="S47 S55">
    <cfRule dxfId="0" priority="239" type="expression">
      <formula>MOD(ROW(S55),8)&lt;4</formula>
    </cfRule>
  </conditionalFormatting>
  <conditionalFormatting sqref="P51">
    <cfRule dxfId="0" priority="234" type="expression">
      <formula>MOD(ROW(P59),8)&lt;4</formula>
    </cfRule>
  </conditionalFormatting>
  <conditionalFormatting sqref="N4 N6:R6">
    <cfRule dxfId="0" priority="223" type="expression">
      <formula>MOD(ROW(N12),8)&lt;4</formula>
    </cfRule>
  </conditionalFormatting>
  <conditionalFormatting sqref="N7">
    <cfRule dxfId="0" priority="222" type="expression">
      <formula>MOD(ROW(N15),8)&lt;4</formula>
    </cfRule>
  </conditionalFormatting>
  <conditionalFormatting sqref="S6">
    <cfRule dxfId="0" priority="218" type="expression">
      <formula>MOD(ROW(S14),8)&lt;4</formula>
    </cfRule>
  </conditionalFormatting>
  <conditionalFormatting sqref="O7">
    <cfRule dxfId="0" priority="220" type="expression">
      <formula>MOD(ROW(O15),8)&lt;4</formula>
    </cfRule>
  </conditionalFormatting>
  <conditionalFormatting sqref="R7">
    <cfRule dxfId="0" priority="217" type="expression">
      <formula>MOD(ROW(R15),8)&lt;4</formula>
    </cfRule>
  </conditionalFormatting>
  <conditionalFormatting sqref="N5">
    <cfRule dxfId="0" priority="215" type="expression">
      <formula>MOD(ROW(N13),8)&lt;4</formula>
    </cfRule>
  </conditionalFormatting>
  <conditionalFormatting sqref="O5:S5">
    <cfRule dxfId="0" priority="214" type="expression">
      <formula>MOD(ROW(O13),8)&lt;4</formula>
    </cfRule>
  </conditionalFormatting>
  <conditionalFormatting sqref="O4:S4">
    <cfRule dxfId="0" priority="213" type="expression">
      <formula>MOD(ROW(O12),8)&lt;4</formula>
    </cfRule>
  </conditionalFormatting>
  <conditionalFormatting sqref="P7:Q7">
    <cfRule dxfId="0" priority="224" type="expression">
      <formula>MOD(ROW(P15),8)&lt;4</formula>
    </cfRule>
  </conditionalFormatting>
  <conditionalFormatting sqref="S7">
    <cfRule dxfId="0" priority="216" type="expression">
      <formula>MOD(ROW(S15),8)&lt;4</formula>
    </cfRule>
  </conditionalFormatting>
  <conditionalFormatting sqref="N28 N30">
    <cfRule dxfId="0" priority="211" type="expression">
      <formula>MOD(ROW(N36),8)&lt;4</formula>
    </cfRule>
  </conditionalFormatting>
  <conditionalFormatting sqref="N31">
    <cfRule dxfId="0" priority="210" type="expression">
      <formula>MOD(ROW(N39),8)&lt;4</formula>
    </cfRule>
  </conditionalFormatting>
  <conditionalFormatting sqref="S30">
    <cfRule dxfId="0" priority="206" type="expression">
      <formula>MOD(ROW(S38),8)&lt;4</formula>
    </cfRule>
  </conditionalFormatting>
  <conditionalFormatting sqref="O30">
    <cfRule dxfId="0" priority="209" type="expression">
      <formula>MOD(ROW(O38),8)&lt;4</formula>
    </cfRule>
  </conditionalFormatting>
  <conditionalFormatting sqref="O31">
    <cfRule dxfId="0" priority="208" type="expression">
      <formula>MOD(ROW(O39),8)&lt;4</formula>
    </cfRule>
  </conditionalFormatting>
  <conditionalFormatting sqref="R30">
    <cfRule dxfId="0" priority="207" type="expression">
      <formula>MOD(ROW(R38),8)&lt;4</formula>
    </cfRule>
  </conditionalFormatting>
  <conditionalFormatting sqref="R31">
    <cfRule dxfId="0" priority="205" type="expression">
      <formula>MOD(ROW(R39),8)&lt;4</formula>
    </cfRule>
  </conditionalFormatting>
  <conditionalFormatting sqref="N29">
    <cfRule dxfId="0" priority="203" type="expression">
      <formula>MOD(ROW(N37),8)&lt;4</formula>
    </cfRule>
  </conditionalFormatting>
  <conditionalFormatting sqref="O29:S29">
    <cfRule dxfId="0" priority="202" type="expression">
      <formula>MOD(ROW(O37),8)&lt;4</formula>
    </cfRule>
  </conditionalFormatting>
  <conditionalFormatting sqref="O28:S28">
    <cfRule dxfId="0" priority="201" type="expression">
      <formula>MOD(ROW(O36),8)&lt;4</formula>
    </cfRule>
  </conditionalFormatting>
  <conditionalFormatting sqref="P30:Q31">
    <cfRule dxfId="0" priority="212" type="expression">
      <formula>MOD(ROW(P38),8)&lt;4</formula>
    </cfRule>
  </conditionalFormatting>
  <conditionalFormatting sqref="S31">
    <cfRule dxfId="0" priority="204" type="expression">
      <formula>MOD(ROW(S39),8)&lt;4</formula>
    </cfRule>
  </conditionalFormatting>
  <conditionalFormatting sqref="O32 O34 S32 S34:S35">
    <cfRule dxfId="0" priority="200" type="expression">
      <formula>MOD(ROW(O40),8)&lt;4</formula>
    </cfRule>
  </conditionalFormatting>
  <conditionalFormatting sqref="P32 P34">
    <cfRule dxfId="0" priority="199" type="expression">
      <formula>MOD(ROW(P40),8)&lt;4</formula>
    </cfRule>
  </conditionalFormatting>
  <conditionalFormatting sqref="Q32 Q34">
    <cfRule dxfId="0" priority="198" type="expression">
      <formula>MOD(ROW(Q40),8)&lt;4</formula>
    </cfRule>
  </conditionalFormatting>
  <conditionalFormatting sqref="R32 R34">
    <cfRule dxfId="0" priority="197" type="expression">
      <formula>MOD(ROW(R40),8)&lt;4</formula>
    </cfRule>
  </conditionalFormatting>
  <conditionalFormatting sqref="Q35">
    <cfRule dxfId="0" priority="195" type="expression">
      <formula>MOD(ROW(Q43),8)&lt;4</formula>
    </cfRule>
  </conditionalFormatting>
  <conditionalFormatting sqref="R35">
    <cfRule dxfId="0" priority="194" type="expression">
      <formula>MOD(ROW(R43),8)&lt;4</formula>
    </cfRule>
  </conditionalFormatting>
  <conditionalFormatting sqref="N32 N34">
    <cfRule dxfId="0" priority="193" type="expression">
      <formula>MOD(ROW(N40),8)&lt;4</formula>
    </cfRule>
  </conditionalFormatting>
  <conditionalFormatting sqref="N35">
    <cfRule dxfId="0" priority="192" type="expression">
      <formula>MOD(ROW(N43),8)&lt;4</formula>
    </cfRule>
  </conditionalFormatting>
  <conditionalFormatting sqref="O35">
    <cfRule dxfId="0" priority="191" type="expression">
      <formula>MOD(ROW(O43),8)&lt;4</formula>
    </cfRule>
  </conditionalFormatting>
  <conditionalFormatting sqref="N33:S33">
    <cfRule dxfId="0" priority="190" type="expression">
      <formula>MOD(ROW(N41),8)&lt;4</formula>
    </cfRule>
  </conditionalFormatting>
  <conditionalFormatting sqref="P35">
    <cfRule dxfId="0" priority="196" type="expression">
      <formula>MOD(ROW(P43),8)&lt;4</formula>
    </cfRule>
  </conditionalFormatting>
  <conditionalFormatting sqref="O40 O42 S40 S42:S43">
    <cfRule dxfId="0" priority="189" type="expression">
      <formula>MOD(ROW(O48),8)&lt;4</formula>
    </cfRule>
  </conditionalFormatting>
  <conditionalFormatting sqref="P40 P42">
    <cfRule dxfId="0" priority="188" type="expression">
      <formula>MOD(ROW(P48),8)&lt;4</formula>
    </cfRule>
  </conditionalFormatting>
  <conditionalFormatting sqref="Q40 Q42">
    <cfRule dxfId="0" priority="187" type="expression">
      <formula>MOD(ROW(Q48),8)&lt;4</formula>
    </cfRule>
  </conditionalFormatting>
  <conditionalFormatting sqref="R40 R42">
    <cfRule dxfId="0" priority="186" type="expression">
      <formula>MOD(ROW(R48),8)&lt;4</formula>
    </cfRule>
  </conditionalFormatting>
  <conditionalFormatting sqref="Q43">
    <cfRule dxfId="0" priority="184" type="expression">
      <formula>MOD(ROW(Q51),8)&lt;4</formula>
    </cfRule>
  </conditionalFormatting>
  <conditionalFormatting sqref="R43">
    <cfRule dxfId="0" priority="183" type="expression">
      <formula>MOD(ROW(R51),8)&lt;4</formula>
    </cfRule>
  </conditionalFormatting>
  <conditionalFormatting sqref="N40 N42">
    <cfRule dxfId="0" priority="182" type="expression">
      <formula>MOD(ROW(N48),8)&lt;4</formula>
    </cfRule>
  </conditionalFormatting>
  <conditionalFormatting sqref="N43">
    <cfRule dxfId="0" priority="181" type="expression">
      <formula>MOD(ROW(N51),8)&lt;4</formula>
    </cfRule>
  </conditionalFormatting>
  <conditionalFormatting sqref="O43">
    <cfRule dxfId="0" priority="180" type="expression">
      <formula>MOD(ROW(O51),8)&lt;4</formula>
    </cfRule>
  </conditionalFormatting>
  <conditionalFormatting sqref="N41:S41">
    <cfRule dxfId="0" priority="179" type="expression">
      <formula>MOD(ROW(N49),8)&lt;4</formula>
    </cfRule>
  </conditionalFormatting>
  <conditionalFormatting sqref="P43">
    <cfRule dxfId="0" priority="185" type="expression">
      <formula>MOD(ROW(P51),8)&lt;4</formula>
    </cfRule>
  </conditionalFormatting>
  <conditionalFormatting sqref="O56 O58 S56 S58:S59">
    <cfRule dxfId="0" priority="178" type="expression">
      <formula>MOD(ROW(O64),8)&lt;4</formula>
    </cfRule>
  </conditionalFormatting>
  <conditionalFormatting sqref="P56 P58">
    <cfRule dxfId="0" priority="177" type="expression">
      <formula>MOD(ROW(P64),8)&lt;4</formula>
    </cfRule>
  </conditionalFormatting>
  <conditionalFormatting sqref="Q56 Q58">
    <cfRule dxfId="0" priority="176" type="expression">
      <formula>MOD(ROW(Q64),8)&lt;4</formula>
    </cfRule>
  </conditionalFormatting>
  <conditionalFormatting sqref="R56 R58">
    <cfRule dxfId="0" priority="175" type="expression">
      <formula>MOD(ROW(R64),8)&lt;4</formula>
    </cfRule>
  </conditionalFormatting>
  <conditionalFormatting sqref="Q59">
    <cfRule dxfId="0" priority="173" type="expression">
      <formula>MOD(ROW(Q67),8)&lt;4</formula>
    </cfRule>
  </conditionalFormatting>
  <conditionalFormatting sqref="R59">
    <cfRule dxfId="0" priority="172" type="expression">
      <formula>MOD(ROW(R67),8)&lt;4</formula>
    </cfRule>
  </conditionalFormatting>
  <conditionalFormatting sqref="N56 N58">
    <cfRule dxfId="0" priority="171" type="expression">
      <formula>MOD(ROW(N64),8)&lt;4</formula>
    </cfRule>
  </conditionalFormatting>
  <conditionalFormatting sqref="N59">
    <cfRule dxfId="0" priority="170" type="expression">
      <formula>MOD(ROW(N67),8)&lt;4</formula>
    </cfRule>
  </conditionalFormatting>
  <conditionalFormatting sqref="O59">
    <cfRule dxfId="0" priority="169" type="expression">
      <formula>MOD(ROW(O67),8)&lt;4</formula>
    </cfRule>
  </conditionalFormatting>
  <conditionalFormatting sqref="N57:S57">
    <cfRule dxfId="0" priority="168" type="expression">
      <formula>MOD(ROW(N65),8)&lt;4</formula>
    </cfRule>
  </conditionalFormatting>
  <conditionalFormatting sqref="P59">
    <cfRule dxfId="0" priority="174" type="expression">
      <formula>MOD(ROW(P67),8)&lt;4</formula>
    </cfRule>
  </conditionalFormatting>
  <conditionalFormatting sqref="N20:S23">
    <cfRule dxfId="0" priority="271" type="expression">
      <formula>MOD(ROW(#REF!),8)&lt;4</formula>
    </cfRule>
  </conditionalFormatting>
  <conditionalFormatting sqref="B4:B7 B24:B59">
    <cfRule dxfId="0" priority="165" type="expression">
      <formula>MOD(ROW(B12),8)&lt;4</formula>
    </cfRule>
  </conditionalFormatting>
  <conditionalFormatting sqref="B20:B23">
    <cfRule dxfId="0" priority="166" type="expression">
      <formula>MOD(ROW(#REF!),8)&lt;4</formula>
    </cfRule>
  </conditionalFormatting>
  <conditionalFormatting sqref="D56:F56 D58:F59 D57:E57">
    <cfRule dxfId="0" priority="163" type="expression">
      <formula>MOD(ROW(D64),8)&lt;4</formula>
    </cfRule>
  </conditionalFormatting>
  <conditionalFormatting sqref="C4:C7 C24:C59">
    <cfRule dxfId="0" priority="160" type="expression">
      <formula>MOD(ROW(C12),8)&lt;4</formula>
    </cfRule>
  </conditionalFormatting>
  <conditionalFormatting sqref="C20:C23">
    <cfRule dxfId="0" priority="161" type="expression">
      <formula>MOD(ROW(#REF!),8)&lt;4</formula>
    </cfRule>
  </conditionalFormatting>
  <conditionalFormatting sqref="F29">
    <cfRule dxfId="0" priority="157" type="expression">
      <formula>MOD(ROW(#REF!),8)&lt;4</formula>
    </cfRule>
  </conditionalFormatting>
  <conditionalFormatting sqref="F25">
    <cfRule dxfId="0" priority="155" type="expression">
      <formula>MOD(ROW(F33),8)&lt;4</formula>
    </cfRule>
  </conditionalFormatting>
  <conditionalFormatting sqref="F33">
    <cfRule dxfId="0" priority="154" type="expression">
      <formula>MOD(ROW(F41),8)&lt;4</formula>
    </cfRule>
  </conditionalFormatting>
  <conditionalFormatting sqref="F41">
    <cfRule dxfId="0" priority="153" type="expression">
      <formula>MOD(ROW(F49),8)&lt;4</formula>
    </cfRule>
  </conditionalFormatting>
  <conditionalFormatting sqref="F49">
    <cfRule dxfId="0" priority="152" type="expression">
      <formula>MOD(ROW(F57),8)&lt;4</formula>
    </cfRule>
  </conditionalFormatting>
  <conditionalFormatting sqref="F45">
    <cfRule dxfId="0" priority="151" type="expression">
      <formula>MOD(ROW(F53),8)&lt;4</formula>
    </cfRule>
  </conditionalFormatting>
  <conditionalFormatting sqref="F57">
    <cfRule dxfId="0" priority="150" type="expression">
      <formula>MOD(ROW(F65),8)&lt;4</formula>
    </cfRule>
  </conditionalFormatting>
  <conditionalFormatting sqref="F53">
    <cfRule dxfId="0" priority="149" type="expression">
      <formula>MOD(ROW(F61),8)&lt;4</formula>
    </cfRule>
  </conditionalFormatting>
  <conditionalFormatting sqref="A60:V67">
    <cfRule dxfId="0" priority="2497" type="expression">
      <formula>MOD(ROW(#REF!),8)&lt;4</formula>
    </cfRule>
  </conditionalFormatting>
  <conditionalFormatting sqref="W60:W67">
    <cfRule dxfId="0" priority="146" type="expression">
      <formula>MOD(ROW(#REF!),8)&lt;4</formula>
    </cfRule>
  </conditionalFormatting>
  <conditionalFormatting sqref="T56:W59">
    <cfRule dxfId="0" priority="145" type="expression">
      <formula>MOD(ROW(T64),8)&lt;4</formula>
    </cfRule>
  </conditionalFormatting>
  <conditionalFormatting sqref="M56 M58">
    <cfRule dxfId="0" priority="144" type="expression">
      <formula>MOD(ROW(M64),8)&lt;4</formula>
    </cfRule>
  </conditionalFormatting>
  <conditionalFormatting sqref="M59">
    <cfRule dxfId="0" priority="143" type="expression">
      <formula>MOD(ROW(M67),8)&lt;4</formula>
    </cfRule>
  </conditionalFormatting>
  <conditionalFormatting sqref="M57">
    <cfRule dxfId="0" priority="142" type="expression">
      <formula>MOD(ROW(M65),8)&lt;4</formula>
    </cfRule>
  </conditionalFormatting>
  <conditionalFormatting sqref="X8:Y11">
    <cfRule dxfId="30" operator="equal" priority="109" type="cellIs">
      <formula>12274</formula>
    </cfRule>
    <cfRule dxfId="29" operator="equal" priority="110" type="cellIs">
      <formula>12124</formula>
    </cfRule>
    <cfRule dxfId="36" operator="equal" priority="103" type="cellIs">
      <formula>12276</formula>
    </cfRule>
    <cfRule dxfId="35" operator="equal" priority="104" type="cellIs">
      <formula>12273</formula>
    </cfRule>
    <cfRule dxfId="34" operator="equal" priority="105" type="cellIs">
      <formula>12272</formula>
    </cfRule>
    <cfRule dxfId="33" operator="equal" priority="106" type="cellIs">
      <formula>12277</formula>
    </cfRule>
    <cfRule dxfId="32" operator="equal" priority="107" type="cellIs">
      <formula>17112</formula>
    </cfRule>
    <cfRule dxfId="29" operator="equal" priority="108" stopIfTrue="1" type="cellIs">
      <formula>12163</formula>
    </cfRule>
  </conditionalFormatting>
  <conditionalFormatting sqref="Z8:Z10">
    <cfRule dxfId="30" operator="equal" priority="101" type="cellIs">
      <formula>12274</formula>
    </cfRule>
    <cfRule dxfId="29" operator="equal" priority="102" type="cellIs">
      <formula>12124</formula>
    </cfRule>
  </conditionalFormatting>
  <conditionalFormatting sqref="M8:M11 T8:U11">
    <cfRule dxfId="0" priority="100" type="expression">
      <formula>MOD(ROW(M16),8)&lt;4</formula>
    </cfRule>
  </conditionalFormatting>
  <conditionalFormatting sqref="D8:F8 D10:F11 D9:E9">
    <cfRule dxfId="0" priority="99" type="expression">
      <formula>MOD(ROW(D16),8)&lt;4</formula>
    </cfRule>
  </conditionalFormatting>
  <conditionalFormatting sqref="V8:V11">
    <cfRule dxfId="0" priority="98" type="expression">
      <formula>MOD(ROW(V16),8)&lt;4</formula>
    </cfRule>
  </conditionalFormatting>
  <conditionalFormatting sqref="W8:W11">
    <cfRule dxfId="0" priority="97" type="expression">
      <formula>MOD(ROW(W16),8)&lt;4</formula>
    </cfRule>
  </conditionalFormatting>
  <conditionalFormatting sqref="I8 I10">
    <cfRule dxfId="0" priority="93" type="expression">
      <formula>MOD(ROW(I16),8)&lt;4</formula>
    </cfRule>
  </conditionalFormatting>
  <conditionalFormatting sqref="J8 J10">
    <cfRule dxfId="0" priority="92" type="expression">
      <formula>MOD(ROW(J16),8)&lt;4</formula>
    </cfRule>
  </conditionalFormatting>
  <conditionalFormatting sqref="K8 K10">
    <cfRule dxfId="0" priority="91" type="expression">
      <formula>MOD(ROW(K16),8)&lt;4</formula>
    </cfRule>
  </conditionalFormatting>
  <conditionalFormatting sqref="I11">
    <cfRule dxfId="0" priority="90" type="expression">
      <formula>MOD(ROW(I19),8)&lt;4</formula>
    </cfRule>
  </conditionalFormatting>
  <conditionalFormatting sqref="J11">
    <cfRule dxfId="0" priority="89" type="expression">
      <formula>MOD(ROW(J19),8)&lt;4</formula>
    </cfRule>
  </conditionalFormatting>
  <conditionalFormatting sqref="K11">
    <cfRule dxfId="0" priority="88" type="expression">
      <formula>MOD(ROW(K19),8)&lt;4</formula>
    </cfRule>
  </conditionalFormatting>
  <conditionalFormatting sqref="H9:L9">
    <cfRule dxfId="0" priority="87" type="expression">
      <formula>MOD(ROW(H17),8)&lt;4</formula>
    </cfRule>
  </conditionalFormatting>
  <conditionalFormatting sqref="A8:A11">
    <cfRule dxfId="0" priority="111" type="expression">
      <formula>MOD(ROW(#REF!),8)&lt;4</formula>
    </cfRule>
  </conditionalFormatting>
  <conditionalFormatting sqref="G8:G11">
    <cfRule dxfId="0" priority="96" type="expression">
      <formula>MOD(ROW(G16),8)&lt;4</formula>
    </cfRule>
  </conditionalFormatting>
  <conditionalFormatting sqref="L8 L10:L11">
    <cfRule dxfId="0" priority="95" type="expression">
      <formula>MOD(ROW(L16),8)&lt;4</formula>
    </cfRule>
  </conditionalFormatting>
  <conditionalFormatting sqref="H8 H10:H11">
    <cfRule dxfId="0" priority="94" type="expression">
      <formula>MOD(ROW(H16),8)&lt;4</formula>
    </cfRule>
  </conditionalFormatting>
  <conditionalFormatting sqref="O8 O10 S8 S10:S11">
    <cfRule dxfId="0" priority="86" type="expression">
      <formula>MOD(ROW(O16),8)&lt;4</formula>
    </cfRule>
  </conditionalFormatting>
  <conditionalFormatting sqref="P8 P10">
    <cfRule dxfId="0" priority="85" type="expression">
      <formula>MOD(ROW(P16),8)&lt;4</formula>
    </cfRule>
  </conditionalFormatting>
  <conditionalFormatting sqref="Q8 Q10">
    <cfRule dxfId="0" priority="84" type="expression">
      <formula>MOD(ROW(Q16),8)&lt;4</formula>
    </cfRule>
  </conditionalFormatting>
  <conditionalFormatting sqref="R8 R10">
    <cfRule dxfId="0" priority="83" type="expression">
      <formula>MOD(ROW(R16),8)&lt;4</formula>
    </cfRule>
  </conditionalFormatting>
  <conditionalFormatting sqref="Q11">
    <cfRule dxfId="0" priority="81" type="expression">
      <formula>MOD(ROW(Q19),8)&lt;4</formula>
    </cfRule>
  </conditionalFormatting>
  <conditionalFormatting sqref="R11">
    <cfRule dxfId="0" priority="80" type="expression">
      <formula>MOD(ROW(R19),8)&lt;4</formula>
    </cfRule>
  </conditionalFormatting>
  <conditionalFormatting sqref="N8 N10">
    <cfRule dxfId="0" priority="79" type="expression">
      <formula>MOD(ROW(N16),8)&lt;4</formula>
    </cfRule>
  </conditionalFormatting>
  <conditionalFormatting sqref="N11">
    <cfRule dxfId="0" priority="78" type="expression">
      <formula>MOD(ROW(N19),8)&lt;4</formula>
    </cfRule>
  </conditionalFormatting>
  <conditionalFormatting sqref="O11">
    <cfRule dxfId="0" priority="77" type="expression">
      <formula>MOD(ROW(O19),8)&lt;4</formula>
    </cfRule>
  </conditionalFormatting>
  <conditionalFormatting sqref="N9:S9">
    <cfRule dxfId="0" priority="76" type="expression">
      <formula>MOD(ROW(N17),8)&lt;4</formula>
    </cfRule>
  </conditionalFormatting>
  <conditionalFormatting sqref="P11">
    <cfRule dxfId="0" priority="82" type="expression">
      <formula>MOD(ROW(P19),8)&lt;4</formula>
    </cfRule>
  </conditionalFormatting>
  <conditionalFormatting sqref="B8:B11">
    <cfRule dxfId="0" priority="75" type="expression">
      <formula>MOD(ROW(B16),8)&lt;4</formula>
    </cfRule>
  </conditionalFormatting>
  <conditionalFormatting sqref="C8:C11">
    <cfRule dxfId="0" priority="74" type="expression">
      <formula>MOD(ROW(C16),8)&lt;4</formula>
    </cfRule>
  </conditionalFormatting>
  <conditionalFormatting sqref="F9">
    <cfRule dxfId="0" priority="73" type="expression">
      <formula>MOD(ROW(F17),8)&lt;4</formula>
    </cfRule>
  </conditionalFormatting>
  <conditionalFormatting sqref="X12:Z14 X15:Y15">
    <cfRule dxfId="30" operator="equal" priority="71" type="cellIs">
      <formula>12274</formula>
    </cfRule>
    <cfRule dxfId="29" operator="equal" priority="72" type="cellIs">
      <formula>12124</formula>
    </cfRule>
  </conditionalFormatting>
  <conditionalFormatting sqref="X12:Y15">
    <cfRule dxfId="36" operator="equal" priority="65" type="cellIs">
      <formula>12276</formula>
    </cfRule>
    <cfRule dxfId="35" operator="equal" priority="66" type="cellIs">
      <formula>12273</formula>
    </cfRule>
    <cfRule dxfId="34" operator="equal" priority="67" type="cellIs">
      <formula>12272</formula>
    </cfRule>
    <cfRule dxfId="33" operator="equal" priority="68" type="cellIs">
      <formula>12277</formula>
    </cfRule>
    <cfRule dxfId="32" operator="equal" priority="69" type="cellIs">
      <formula>17112</formula>
    </cfRule>
    <cfRule dxfId="29" operator="equal" priority="70" stopIfTrue="1" type="cellIs">
      <formula>12163</formula>
    </cfRule>
  </conditionalFormatting>
  <conditionalFormatting sqref="M12:M15 A12:A15 T12:W15 D12:F15">
    <cfRule dxfId="0" priority="64" type="expression">
      <formula>MOD(ROW(A20),8)&lt;4</formula>
    </cfRule>
  </conditionalFormatting>
  <conditionalFormatting sqref="G14:H15 G13">
    <cfRule dxfId="0" priority="63" type="expression">
      <formula>MOD(ROW(G21),8)&lt;4</formula>
    </cfRule>
  </conditionalFormatting>
  <conditionalFormatting sqref="L14">
    <cfRule dxfId="0" priority="62" type="expression">
      <formula>MOD(ROW(L22),8)&lt;4</formula>
    </cfRule>
  </conditionalFormatting>
  <conditionalFormatting sqref="I14">
    <cfRule dxfId="0" priority="61" type="expression">
      <formula>MOD(ROW(I22),8)&lt;4</formula>
    </cfRule>
  </conditionalFormatting>
  <conditionalFormatting sqref="J14">
    <cfRule dxfId="0" priority="60" type="expression">
      <formula>MOD(ROW(J22),8)&lt;4</formula>
    </cfRule>
  </conditionalFormatting>
  <conditionalFormatting sqref="K14">
    <cfRule dxfId="0" priority="59" type="expression">
      <formula>MOD(ROW(K22),8)&lt;4</formula>
    </cfRule>
  </conditionalFormatting>
  <conditionalFormatting sqref="L15">
    <cfRule dxfId="0" priority="58" type="expression">
      <formula>MOD(ROW(L23),8)&lt;4</formula>
    </cfRule>
  </conditionalFormatting>
  <conditionalFormatting sqref="I15">
    <cfRule dxfId="0" priority="57" type="expression">
      <formula>MOD(ROW(I23),8)&lt;4</formula>
    </cfRule>
  </conditionalFormatting>
  <conditionalFormatting sqref="J15">
    <cfRule dxfId="0" priority="56" type="expression">
      <formula>MOD(ROW(J23),8)&lt;4</formula>
    </cfRule>
  </conditionalFormatting>
  <conditionalFormatting sqref="K15">
    <cfRule dxfId="0" priority="55" type="expression">
      <formula>MOD(ROW(K23),8)&lt;4</formula>
    </cfRule>
  </conditionalFormatting>
  <conditionalFormatting sqref="H13:L13">
    <cfRule dxfId="0" priority="54" type="expression">
      <formula>MOD(ROW(H21),8)&lt;4</formula>
    </cfRule>
  </conditionalFormatting>
  <conditionalFormatting sqref="G12">
    <cfRule dxfId="0" priority="53" type="expression">
      <formula>MOD(ROW(G20),8)&lt;4</formula>
    </cfRule>
  </conditionalFormatting>
  <conditionalFormatting sqref="H12:L12">
    <cfRule dxfId="0" priority="52" type="expression">
      <formula>MOD(ROW(H20),8)&lt;4</formula>
    </cfRule>
  </conditionalFormatting>
  <conditionalFormatting sqref="N12 N14:R14">
    <cfRule dxfId="0" priority="50" type="expression">
      <formula>MOD(ROW(N20),8)&lt;4</formula>
    </cfRule>
  </conditionalFormatting>
  <conditionalFormatting sqref="N15">
    <cfRule dxfId="0" priority="49" type="expression">
      <formula>MOD(ROW(N23),8)&lt;4</formula>
    </cfRule>
  </conditionalFormatting>
  <conditionalFormatting sqref="S14">
    <cfRule dxfId="0" priority="47" type="expression">
      <formula>MOD(ROW(S22),8)&lt;4</formula>
    </cfRule>
  </conditionalFormatting>
  <conditionalFormatting sqref="O15">
    <cfRule dxfId="0" priority="48" type="expression">
      <formula>MOD(ROW(O23),8)&lt;4</formula>
    </cfRule>
  </conditionalFormatting>
  <conditionalFormatting sqref="R15">
    <cfRule dxfId="0" priority="46" type="expression">
      <formula>MOD(ROW(R23),8)&lt;4</formula>
    </cfRule>
  </conditionalFormatting>
  <conditionalFormatting sqref="N13">
    <cfRule dxfId="0" priority="44" type="expression">
      <formula>MOD(ROW(N21),8)&lt;4</formula>
    </cfRule>
  </conditionalFormatting>
  <conditionalFormatting sqref="O13:S13">
    <cfRule dxfId="0" priority="43" type="expression">
      <formula>MOD(ROW(O21),8)&lt;4</formula>
    </cfRule>
  </conditionalFormatting>
  <conditionalFormatting sqref="O12:S12">
    <cfRule dxfId="0" priority="42" type="expression">
      <formula>MOD(ROW(O20),8)&lt;4</formula>
    </cfRule>
  </conditionalFormatting>
  <conditionalFormatting sqref="P15:Q15">
    <cfRule dxfId="0" priority="51" type="expression">
      <formula>MOD(ROW(P23),8)&lt;4</formula>
    </cfRule>
  </conditionalFormatting>
  <conditionalFormatting sqref="S15">
    <cfRule dxfId="0" priority="45" type="expression">
      <formula>MOD(ROW(S23),8)&lt;4</formula>
    </cfRule>
  </conditionalFormatting>
  <conditionalFormatting sqref="B12:B15">
    <cfRule dxfId="0" priority="41" type="expression">
      <formula>MOD(ROW(B20),8)&lt;4</formula>
    </cfRule>
  </conditionalFormatting>
  <conditionalFormatting sqref="C12:C15">
    <cfRule dxfId="0" priority="40" type="expression">
      <formula>MOD(ROW(C20),8)&lt;4</formula>
    </cfRule>
  </conditionalFormatting>
  <conditionalFormatting sqref="X16:Y19">
    <cfRule dxfId="30" operator="equal" priority="37" type="cellIs">
      <formula>12274</formula>
    </cfRule>
    <cfRule dxfId="29" operator="equal" priority="38" type="cellIs">
      <formula>12124</formula>
    </cfRule>
    <cfRule dxfId="36" operator="equal" priority="31" type="cellIs">
      <formula>12276</formula>
    </cfRule>
    <cfRule dxfId="35" operator="equal" priority="32" type="cellIs">
      <formula>12273</formula>
    </cfRule>
    <cfRule dxfId="34" operator="equal" priority="33" type="cellIs">
      <formula>12272</formula>
    </cfRule>
    <cfRule dxfId="33" operator="equal" priority="34" type="cellIs">
      <formula>12277</formula>
    </cfRule>
    <cfRule dxfId="32" operator="equal" priority="35" type="cellIs">
      <formula>17112</formula>
    </cfRule>
    <cfRule dxfId="29" operator="equal" priority="36" stopIfTrue="1" type="cellIs">
      <formula>12163</formula>
    </cfRule>
  </conditionalFormatting>
  <conditionalFormatting sqref="Z16:Z18">
    <cfRule dxfId="30" operator="equal" priority="29" type="cellIs">
      <formula>12274</formula>
    </cfRule>
    <cfRule dxfId="29" operator="equal" priority="30" type="cellIs">
      <formula>12124</formula>
    </cfRule>
  </conditionalFormatting>
  <conditionalFormatting sqref="M16:M19 T16:U19">
    <cfRule dxfId="0" priority="28" type="expression">
      <formula>MOD(ROW(M24),8)&lt;4</formula>
    </cfRule>
  </conditionalFormatting>
  <conditionalFormatting sqref="D16:F16 D18:F19 D17:E17">
    <cfRule dxfId="0" priority="27" type="expression">
      <formula>MOD(ROW(D24),8)&lt;4</formula>
    </cfRule>
  </conditionalFormatting>
  <conditionalFormatting sqref="V16:V19">
    <cfRule dxfId="0" priority="26" type="expression">
      <formula>MOD(ROW(V24),8)&lt;4</formula>
    </cfRule>
  </conditionalFormatting>
  <conditionalFormatting sqref="W16:W19">
    <cfRule dxfId="0" priority="25" type="expression">
      <formula>MOD(ROW(W24),8)&lt;4</formula>
    </cfRule>
  </conditionalFormatting>
  <conditionalFormatting sqref="I16 I18">
    <cfRule dxfId="0" priority="21" type="expression">
      <formula>MOD(ROW(I24),8)&lt;4</formula>
    </cfRule>
  </conditionalFormatting>
  <conditionalFormatting sqref="J16 J18">
    <cfRule dxfId="0" priority="20" type="expression">
      <formula>MOD(ROW(J24),8)&lt;4</formula>
    </cfRule>
  </conditionalFormatting>
  <conditionalFormatting sqref="K16 K18">
    <cfRule dxfId="0" priority="19" type="expression">
      <formula>MOD(ROW(K24),8)&lt;4</formula>
    </cfRule>
  </conditionalFormatting>
  <conditionalFormatting sqref="I19">
    <cfRule dxfId="0" priority="18" type="expression">
      <formula>MOD(ROW(I27),8)&lt;4</formula>
    </cfRule>
  </conditionalFormatting>
  <conditionalFormatting sqref="J19">
    <cfRule dxfId="0" priority="17" type="expression">
      <formula>MOD(ROW(J27),8)&lt;4</formula>
    </cfRule>
  </conditionalFormatting>
  <conditionalFormatting sqref="K19">
    <cfRule dxfId="0" priority="16" type="expression">
      <formula>MOD(ROW(K27),8)&lt;4</formula>
    </cfRule>
  </conditionalFormatting>
  <conditionalFormatting sqref="H17:L17">
    <cfRule dxfId="0" priority="15" type="expression">
      <formula>MOD(ROW(H25),8)&lt;4</formula>
    </cfRule>
  </conditionalFormatting>
  <conditionalFormatting sqref="A16:A19">
    <cfRule dxfId="0" priority="39" type="expression">
      <formula>MOD(ROW(#REF!),8)&lt;4</formula>
    </cfRule>
  </conditionalFormatting>
  <conditionalFormatting sqref="G16:G19">
    <cfRule dxfId="0" priority="24" type="expression">
      <formula>MOD(ROW(G24),8)&lt;4</formula>
    </cfRule>
  </conditionalFormatting>
  <conditionalFormatting sqref="L16 L18:L19">
    <cfRule dxfId="0" priority="23" type="expression">
      <formula>MOD(ROW(L24),8)&lt;4</formula>
    </cfRule>
  </conditionalFormatting>
  <conditionalFormatting sqref="H16 H18:H19">
    <cfRule dxfId="0" priority="22" type="expression">
      <formula>MOD(ROW(H24),8)&lt;4</formula>
    </cfRule>
  </conditionalFormatting>
  <conditionalFormatting sqref="O16 O18 S16 S18:S19">
    <cfRule dxfId="0" priority="14" type="expression">
      <formula>MOD(ROW(O24),8)&lt;4</formula>
    </cfRule>
  </conditionalFormatting>
  <conditionalFormatting sqref="P16 P18">
    <cfRule dxfId="0" priority="13" type="expression">
      <formula>MOD(ROW(P24),8)&lt;4</formula>
    </cfRule>
  </conditionalFormatting>
  <conditionalFormatting sqref="Q16 Q18">
    <cfRule dxfId="0" priority="12" type="expression">
      <formula>MOD(ROW(Q24),8)&lt;4</formula>
    </cfRule>
  </conditionalFormatting>
  <conditionalFormatting sqref="R16 R18">
    <cfRule dxfId="0" priority="11" type="expression">
      <formula>MOD(ROW(R24),8)&lt;4</formula>
    </cfRule>
  </conditionalFormatting>
  <conditionalFormatting sqref="Q19">
    <cfRule dxfId="0" priority="9" type="expression">
      <formula>MOD(ROW(Q27),8)&lt;4</formula>
    </cfRule>
  </conditionalFormatting>
  <conditionalFormatting sqref="R19">
    <cfRule dxfId="0" priority="8" type="expression">
      <formula>MOD(ROW(R27),8)&lt;4</formula>
    </cfRule>
  </conditionalFormatting>
  <conditionalFormatting sqref="N16 N18">
    <cfRule dxfId="0" priority="7" type="expression">
      <formula>MOD(ROW(N24),8)&lt;4</formula>
    </cfRule>
  </conditionalFormatting>
  <conditionalFormatting sqref="N19">
    <cfRule dxfId="0" priority="6" type="expression">
      <formula>MOD(ROW(N27),8)&lt;4</formula>
    </cfRule>
  </conditionalFormatting>
  <conditionalFormatting sqref="O19">
    <cfRule dxfId="0" priority="5" type="expression">
      <formula>MOD(ROW(O27),8)&lt;4</formula>
    </cfRule>
  </conditionalFormatting>
  <conditionalFormatting sqref="N17:S17">
    <cfRule dxfId="0" priority="4" type="expression">
      <formula>MOD(ROW(N25),8)&lt;4</formula>
    </cfRule>
  </conditionalFormatting>
  <conditionalFormatting sqref="P19">
    <cfRule dxfId="0" priority="10" type="expression">
      <formula>MOD(ROW(P27),8)&lt;4</formula>
    </cfRule>
  </conditionalFormatting>
  <conditionalFormatting sqref="B16:B19">
    <cfRule dxfId="0" priority="3" type="expression">
      <formula>MOD(ROW(B24),8)&lt;4</formula>
    </cfRule>
  </conditionalFormatting>
  <conditionalFormatting sqref="C16:C19">
    <cfRule dxfId="0" priority="2" type="expression">
      <formula>MOD(ROW(C24),8)&lt;4</formula>
    </cfRule>
  </conditionalFormatting>
  <conditionalFormatting sqref="F17">
    <cfRule dxfId="0" priority="1" type="expression">
      <formula>MOD(ROW(F25),8)&lt;4</formula>
    </cfRule>
  </conditionalFormatting>
  <dataValidations count="1">
    <dataValidation allowBlank="0" error="Please input a valid number!" errorTitle="Wrong Input" imeMode="off" operator="greaterThan" showErrorMessage="1" showInputMessage="1" sqref="G136:L136 N136:S136" type="decimal">
      <formula1>-1000000000</formula1>
    </dataValidation>
  </dataValidations>
  <pageMargins bottom="0.75" footer="0.3" header="0.3" left="0.7" right="0.7" top="0.75"/>
  <pageSetup orientation="portrait" paperSize="9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00B050"/>
    <outlinePr summaryBelow="1" summaryRight="1"/>
    <pageSetUpPr/>
  </sheetPr>
  <dimension ref="A1:Y35"/>
  <sheetViews>
    <sheetView topLeftCell="A2" workbookViewId="0" zoomScaleNormal="100">
      <pane activePane="topRight" state="frozen" topLeftCell="B1" xSplit="1"/>
      <selection activeCell="A1" pane="topRight" sqref="A1"/>
    </sheetView>
  </sheetViews>
  <sheetFormatPr baseColWidth="8" defaultColWidth="9" defaultRowHeight="14.25" outlineLevelCol="0"/>
  <cols>
    <col customWidth="1" max="1" min="1" style="2125" width="13.75"/>
    <col customWidth="1" max="2" min="2" style="2125" width="2.25"/>
    <col customWidth="1" max="3" min="3" style="2125" width="8.75"/>
    <col customWidth="1" max="4" min="4" style="2125" width="9"/>
    <col customWidth="1" max="5" min="5" style="2125" width="0.75"/>
    <col customWidth="1" max="6" min="6" style="2125" width="8.625"/>
    <col customWidth="1" max="7" min="7" style="2125" width="8.25"/>
    <col customWidth="1" max="8" min="8" style="2125" width="0.75"/>
    <col customWidth="1" max="9" min="9" style="2125" width="7.125"/>
    <col bestFit="1" customWidth="1" max="10" min="10" style="2125" width="7.875"/>
    <col customWidth="1" max="11" min="11" style="2125" width="0.75"/>
    <col bestFit="1" customWidth="1" max="12" min="12" style="2125" width="8.5"/>
    <col customWidth="1" max="13" min="13" style="2125" width="8.5"/>
    <col customWidth="1" max="16384" min="14" style="2125" width="9"/>
  </cols>
  <sheetData>
    <row customFormat="1" customHeight="1" ht="30.75" r="1" s="2125" spans="1:25">
      <c r="A1" s="2126" t="n"/>
      <c r="B1" s="2125" t="n"/>
      <c r="C1" s="2127" t="n"/>
      <c r="D1" s="2127" t="n"/>
      <c r="E1" s="2127" t="n"/>
      <c r="F1" s="2127" t="n"/>
      <c r="G1" s="2127" t="n"/>
      <c r="H1" s="2127" t="n"/>
      <c r="I1" s="2127" t="n"/>
      <c r="J1" s="2125" t="n"/>
      <c r="K1" s="2125" t="n"/>
    </row>
    <row customHeight="1" ht="15" r="2" s="1843" spans="1:25" thickBot="1">
      <c r="A2" s="2128" t="n"/>
      <c r="B2" s="2129" t="n"/>
      <c r="D2" s="2129" t="n"/>
      <c r="E2" s="2129" t="n"/>
      <c r="F2" s="2130" t="n"/>
      <c r="G2" s="2130" t="n"/>
      <c r="H2" s="2129" t="n"/>
      <c r="I2" s="2129" t="n"/>
      <c r="J2" s="2129" t="n"/>
      <c r="K2" s="2129" t="n"/>
    </row>
    <row r="3" spans="1:25">
      <c r="A3" s="2131" t="s">
        <v>54</v>
      </c>
      <c r="B3" s="2132" t="n"/>
      <c r="C3" s="2132" t="s">
        <v>89</v>
      </c>
      <c r="E3" s="2133" t="n"/>
      <c r="F3" s="2132" t="s">
        <v>152</v>
      </c>
      <c r="H3" s="2133" t="n"/>
      <c r="I3" s="2132" t="s">
        <v>153</v>
      </c>
      <c r="K3" s="2134" t="n"/>
    </row>
    <row customFormat="1" customHeight="1" ht="28.5" r="4" s="2135" spans="1:25">
      <c r="A4" s="2136" t="n"/>
      <c r="B4" s="2137" t="n"/>
      <c r="C4" s="2138" t="s">
        <v>154</v>
      </c>
      <c r="D4" s="2139" t="s">
        <v>155</v>
      </c>
      <c r="E4" s="2140" t="n"/>
      <c r="F4" s="2138" t="s">
        <v>154</v>
      </c>
      <c r="G4" s="2139" t="s">
        <v>155</v>
      </c>
      <c r="H4" s="2140" t="n"/>
      <c r="I4" s="2138" t="s">
        <v>154</v>
      </c>
      <c r="J4" s="2139" t="s">
        <v>155</v>
      </c>
      <c r="K4" s="2141" t="n"/>
    </row>
    <row r="5" spans="1:25">
      <c r="A5" s="2142" t="s">
        <v>156</v>
      </c>
      <c r="B5" s="2143" t="n"/>
      <c r="C5" s="2143" t="n"/>
      <c r="D5" s="2143" t="n"/>
      <c r="E5" s="2143" t="n"/>
      <c r="F5" s="2143">
        <f>PL!AZ3</f>
        <v/>
      </c>
      <c r="G5" s="2144">
        <f>PL!AZ3</f>
        <v/>
      </c>
      <c r="H5" s="2143" t="n"/>
      <c r="I5" s="2143" t="n"/>
      <c r="J5" s="2143" t="n"/>
      <c r="K5" s="2145" t="n"/>
      <c r="L5" s="2146" t="n"/>
    </row>
    <row r="6" spans="1:25">
      <c r="A6" s="2142" t="s">
        <v>157</v>
      </c>
      <c r="B6" s="2143" t="n"/>
      <c r="C6" s="2143" t="n"/>
      <c r="D6" s="2143" t="n"/>
      <c r="E6" s="2143" t="n"/>
      <c r="F6" s="2143">
        <f>PL!AZ10</f>
        <v/>
      </c>
      <c r="G6" s="2144">
        <f>PL!AZ10</f>
        <v/>
      </c>
      <c r="H6" s="2143" t="n"/>
      <c r="I6" s="2143" t="n"/>
      <c r="J6" s="2143" t="n"/>
      <c r="K6" s="2145" t="n"/>
      <c r="L6" s="2146" t="n"/>
    </row>
    <row r="7" spans="1:25">
      <c r="A7" s="2142" t="s">
        <v>158</v>
      </c>
      <c r="B7" s="2143" t="n"/>
      <c r="C7" s="2143" t="n"/>
      <c r="D7" s="2143" t="n"/>
      <c r="E7" s="2143" t="n"/>
      <c r="F7" s="2143">
        <f>PL!AZ6</f>
        <v/>
      </c>
      <c r="G7" s="2144">
        <f>PL!AZ6</f>
        <v/>
      </c>
      <c r="H7" s="2143" t="n"/>
      <c r="I7" s="2143" t="n"/>
      <c r="J7" s="2143" t="n"/>
      <c r="K7" s="2145" t="n"/>
      <c r="L7" s="2146" t="n"/>
    </row>
    <row r="8" spans="1:25">
      <c r="A8" s="2142" t="s">
        <v>159</v>
      </c>
      <c r="B8" s="2143" t="n"/>
      <c r="C8" s="2143" t="n"/>
      <c r="D8" s="2143" t="n"/>
      <c r="E8" s="2143" t="n"/>
      <c r="F8" s="2143">
        <f>PL!AZ5+PL!AZ16</f>
        <v/>
      </c>
      <c r="G8" s="2144">
        <f>PL!AZ5+PL!AZ16</f>
        <v/>
      </c>
      <c r="H8" s="2143" t="n"/>
      <c r="I8" s="2143" t="n"/>
      <c r="J8" s="2143" t="n"/>
      <c r="K8" s="2145" t="n"/>
      <c r="L8" s="2146" t="n"/>
    </row>
    <row r="9" spans="1:25">
      <c r="A9" s="2142" t="s">
        <v>160</v>
      </c>
      <c r="B9" s="2143" t="n"/>
      <c r="C9" s="2143" t="n"/>
      <c r="D9" s="2143" t="n"/>
      <c r="E9" s="2143" t="n"/>
      <c r="F9" s="2143">
        <f>PL!AZ13</f>
        <v/>
      </c>
      <c r="G9" s="2144">
        <f>PL!AZ13</f>
        <v/>
      </c>
      <c r="H9" s="2143" t="n"/>
      <c r="I9" s="2143" t="n"/>
      <c r="J9" s="2143" t="n"/>
      <c r="K9" s="2145" t="n"/>
      <c r="L9" s="2146" t="n"/>
    </row>
    <row r="10" spans="1:25">
      <c r="A10" s="2142" t="s">
        <v>161</v>
      </c>
      <c r="B10" s="2143" t="n"/>
      <c r="C10" s="2143" t="n"/>
      <c r="D10" s="2143" t="n"/>
      <c r="E10" s="2143" t="n"/>
      <c r="F10" s="2143">
        <f>PL!AZ11</f>
        <v/>
      </c>
      <c r="G10" s="2144">
        <f>PL!AZ11</f>
        <v/>
      </c>
      <c r="H10" s="2143" t="n"/>
      <c r="I10" s="2143" t="n"/>
      <c r="J10" s="2143" t="n"/>
      <c r="K10" s="2145" t="n"/>
      <c r="L10" s="2146" t="n"/>
    </row>
    <row r="11" spans="1:25">
      <c r="A11" s="2142" t="s">
        <v>162</v>
      </c>
      <c r="B11" s="2143" t="n"/>
      <c r="C11" s="2143" t="n"/>
      <c r="D11" s="2143" t="n"/>
      <c r="E11" s="2143" t="n"/>
      <c r="F11" s="2143">
        <f>PL!AZ12</f>
        <v/>
      </c>
      <c r="G11" s="2144">
        <f>PL!AZ12</f>
        <v/>
      </c>
      <c r="H11" s="2143" t="n"/>
      <c r="I11" s="2143" t="n"/>
      <c r="J11" s="2143" t="n"/>
      <c r="K11" s="2145" t="n"/>
      <c r="L11" s="2146" t="n"/>
    </row>
    <row r="12" spans="1:25">
      <c r="A12" s="2142" t="s">
        <v>163</v>
      </c>
      <c r="B12" s="2143" t="n"/>
      <c r="C12" s="2143" t="n"/>
      <c r="D12" s="2147" t="n"/>
      <c r="E12" s="2147" t="n"/>
      <c r="F12" s="2143">
        <f>PL!AZ8</f>
        <v/>
      </c>
      <c r="G12" s="2144">
        <f>PL!AZ8</f>
        <v/>
      </c>
      <c r="H12" s="2143" t="n"/>
      <c r="I12" s="2147" t="n"/>
      <c r="J12" s="2143" t="n"/>
      <c r="K12" s="2145" t="n"/>
      <c r="L12" s="2146" t="n"/>
    </row>
    <row r="13" spans="1:25">
      <c r="A13" s="2142" t="s">
        <v>164</v>
      </c>
      <c r="B13" s="2143" t="n"/>
      <c r="C13" s="2143" t="n"/>
      <c r="D13" s="2143" t="n"/>
      <c r="E13" s="2143" t="n"/>
      <c r="F13" s="2143">
        <f>PL!AZ4+PL!AZ7+PL!AZ9</f>
        <v/>
      </c>
      <c r="G13" s="2144">
        <f>PL!AZ7+PL!AZ9+PL!AZ4</f>
        <v/>
      </c>
      <c r="H13" s="2143" t="n"/>
      <c r="I13" s="2143" t="n"/>
      <c r="J13" s="2143" t="n"/>
      <c r="K13" s="2145" t="n"/>
      <c r="L13" s="2146" t="n"/>
    </row>
    <row r="14" spans="1:25">
      <c r="A14" s="2148" t="s">
        <v>165</v>
      </c>
      <c r="B14" s="2143" t="n"/>
      <c r="C14" s="2143" t="n"/>
      <c r="D14" s="2143" t="n"/>
      <c r="E14" s="2143" t="n"/>
      <c r="F14" s="2143">
        <f>PL!AZ17+PL!AZ18+PL!AZ19</f>
        <v/>
      </c>
      <c r="G14" s="2144">
        <f>PL!AZ17+PL!AZ18+PL!AZ19</f>
        <v/>
      </c>
      <c r="H14" s="2143" t="n"/>
      <c r="I14" s="2143" t="n"/>
      <c r="J14" s="2143" t="n"/>
      <c r="K14" s="2145" t="n"/>
      <c r="L14" s="2146" t="n"/>
    </row>
    <row r="15" spans="1:25">
      <c r="A15" s="2142" t="s">
        <v>89</v>
      </c>
      <c r="B15" s="2143" t="n"/>
      <c r="C15" s="2143">
        <f>PL!AY20</f>
        <v/>
      </c>
      <c r="D15" s="2143" t="n"/>
      <c r="E15" s="2143" t="n"/>
      <c r="F15" s="2143" t="n"/>
      <c r="G15" s="2143" t="n"/>
      <c r="H15" s="2143" t="n"/>
      <c r="I15" s="2143" t="n"/>
      <c r="J15" s="2143" t="n"/>
      <c r="K15" s="2145" t="n"/>
    </row>
    <row r="16" spans="1:25">
      <c r="A16" s="2149" t="s">
        <v>82</v>
      </c>
      <c r="B16" s="2143" t="n"/>
      <c r="C16" s="2143" t="n"/>
      <c r="D16" s="2144">
        <f>'FY18 SET'!U80</f>
        <v/>
      </c>
      <c r="E16" s="2143" t="n"/>
      <c r="F16" s="2143" t="n"/>
      <c r="G16" s="2143" t="n"/>
      <c r="H16" s="2143" t="n"/>
      <c r="I16" s="2143" t="n"/>
      <c r="J16" s="2143" t="n"/>
      <c r="K16" s="2145" t="n"/>
    </row>
    <row r="17" spans="1:25">
      <c r="A17" s="2149" t="s">
        <v>112</v>
      </c>
      <c r="B17" s="2143" t="n"/>
      <c r="C17" s="2143" t="n"/>
      <c r="D17" s="2144">
        <f>'FY18 SET'!U81</f>
        <v/>
      </c>
      <c r="E17" s="2143" t="n"/>
      <c r="F17" s="2143" t="n"/>
      <c r="G17" s="2143" t="n"/>
      <c r="H17" s="2143" t="n"/>
      <c r="I17" s="2143" t="n"/>
      <c r="J17" s="2143" t="n"/>
      <c r="K17" s="2145" t="n"/>
    </row>
    <row r="18" spans="1:25">
      <c r="A18" s="2149" t="s">
        <v>102</v>
      </c>
      <c r="B18" s="2143" t="n"/>
      <c r="C18" s="2143" t="n"/>
      <c r="D18" s="2144">
        <f>'FY18 SET'!U82</f>
        <v/>
      </c>
      <c r="E18" s="2143" t="n"/>
      <c r="F18" s="2143" t="n"/>
      <c r="G18" s="2143" t="n"/>
      <c r="H18" s="2143" t="n"/>
      <c r="I18" s="2143" t="n"/>
      <c r="J18" s="2143" t="n"/>
      <c r="K18" s="2145" t="n"/>
    </row>
    <row r="19" spans="1:25">
      <c r="A19" s="2149" t="s">
        <v>166</v>
      </c>
      <c r="B19" s="2143" t="n"/>
      <c r="C19" s="2143" t="n"/>
      <c r="D19" s="2144">
        <f>'FY18 SET'!U83</f>
        <v/>
      </c>
      <c r="E19" s="2143" t="n"/>
      <c r="F19" s="2143" t="n"/>
      <c r="G19" s="2143" t="n"/>
      <c r="H19" s="2143" t="n"/>
      <c r="I19" s="2143" t="n"/>
      <c r="J19" s="2143" t="n"/>
      <c r="K19" s="2145" t="n"/>
    </row>
    <row r="20" spans="1:25">
      <c r="A20" s="2149" t="s">
        <v>167</v>
      </c>
      <c r="B20" s="2143" t="n"/>
      <c r="C20" s="2143" t="n"/>
      <c r="D20" s="2144">
        <f>'FY18 SET'!U84</f>
        <v/>
      </c>
      <c r="E20" s="2143" t="n"/>
      <c r="F20" s="2143" t="n"/>
      <c r="G20" s="2143" t="n"/>
      <c r="H20" s="2143" t="n"/>
      <c r="I20" s="2143" t="n"/>
      <c r="J20" s="2143" t="n"/>
      <c r="K20" s="2145" t="n"/>
    </row>
    <row r="21" spans="1:25">
      <c r="A21" s="2149" t="s">
        <v>168</v>
      </c>
      <c r="B21" s="2143" t="n"/>
      <c r="C21" s="2143" t="n"/>
      <c r="D21" s="2144">
        <f>'FY18 SET'!U85</f>
        <v/>
      </c>
      <c r="E21" s="2143" t="n"/>
      <c r="F21" s="2143" t="n"/>
      <c r="G21" s="2143" t="n"/>
      <c r="H21" s="2143" t="n"/>
      <c r="I21" s="2143" t="n"/>
      <c r="J21" s="2143" t="n"/>
      <c r="K21" s="2145" t="n"/>
    </row>
    <row r="22" spans="1:25">
      <c r="A22" s="2149" t="s">
        <v>118</v>
      </c>
      <c r="B22" s="2143" t="n"/>
      <c r="C22" s="2143" t="n"/>
      <c r="D22" s="2144">
        <f>'FY18 SET'!U86</f>
        <v/>
      </c>
      <c r="E22" s="2143" t="n"/>
      <c r="F22" s="2143" t="n"/>
      <c r="G22" s="2143" t="n"/>
      <c r="H22" s="2143" t="n"/>
      <c r="I22" s="2143" t="n"/>
      <c r="J22" s="2143" t="n"/>
      <c r="K22" s="2145" t="n"/>
    </row>
    <row r="23" spans="1:25">
      <c r="A23" s="2149" t="s">
        <v>169</v>
      </c>
      <c r="B23" s="2143" t="n"/>
      <c r="C23" s="2143" t="n"/>
      <c r="D23" s="2144">
        <f>'FY18 SET'!U87</f>
        <v/>
      </c>
      <c r="E23" s="2143" t="n"/>
      <c r="F23" s="2143" t="n"/>
      <c r="G23" s="2143" t="n"/>
      <c r="H23" s="2143" t="n"/>
      <c r="I23" s="2143" t="n"/>
      <c r="J23" s="2143" t="n"/>
      <c r="K23" s="2145" t="n"/>
    </row>
    <row r="24" spans="1:25">
      <c r="A24" s="2149" t="s">
        <v>170</v>
      </c>
      <c r="B24" s="2143" t="n"/>
      <c r="C24" s="2143" t="n"/>
      <c r="D24" s="2144" t="n">
        <v>0</v>
      </c>
      <c r="E24" s="2143" t="n"/>
      <c r="F24" s="2143" t="n"/>
      <c r="G24" s="2143" t="n"/>
      <c r="H24" s="2143" t="n"/>
      <c r="I24" s="2143" t="n"/>
      <c r="J24" s="2143" t="n"/>
      <c r="K24" s="2145" t="n"/>
    </row>
    <row r="25" spans="1:25">
      <c r="A25" s="2149" t="s">
        <v>105</v>
      </c>
      <c r="B25" s="2143" t="n"/>
      <c r="C25" s="2143" t="n"/>
      <c r="D25" s="2144">
        <f>'FY18 SET'!U88</f>
        <v/>
      </c>
      <c r="E25" s="2143" t="n"/>
      <c r="F25" s="2143" t="n"/>
      <c r="G25" s="2143" t="n"/>
      <c r="H25" s="2143" t="n"/>
      <c r="I25" s="2143" t="n"/>
      <c r="J25" s="2143" t="n"/>
      <c r="K25" s="2145" t="n"/>
    </row>
    <row r="26" spans="1:25">
      <c r="A26" s="2149" t="s">
        <v>171</v>
      </c>
      <c r="B26" s="2143" t="n"/>
      <c r="C26" s="2143" t="n"/>
      <c r="D26" s="2144" t="n">
        <v>0</v>
      </c>
      <c r="E26" s="2143" t="n"/>
      <c r="F26" s="2143" t="n"/>
      <c r="G26" s="2143" t="n"/>
      <c r="H26" s="2143" t="n"/>
      <c r="I26" s="2143" t="n"/>
      <c r="J26" s="2143" t="n"/>
      <c r="K26" s="2145" t="n"/>
    </row>
    <row r="27" spans="1:25">
      <c r="A27" s="2149" t="s">
        <v>115</v>
      </c>
      <c r="B27" s="2143" t="n"/>
      <c r="C27" s="2143" t="n"/>
      <c r="D27" s="2144">
        <f>'FY18 SET'!U89</f>
        <v/>
      </c>
      <c r="E27" s="2143" t="n"/>
      <c r="F27" s="2143" t="n"/>
      <c r="G27" s="2143" t="n"/>
      <c r="H27" s="2143" t="n"/>
      <c r="I27" s="2143" t="n"/>
      <c r="J27" s="2143" t="n"/>
      <c r="K27" s="2145" t="n"/>
    </row>
    <row r="28" spans="1:25">
      <c r="A28" s="2150" t="s">
        <v>172</v>
      </c>
      <c r="B28" s="2143" t="n"/>
      <c r="C28" s="2143" t="n"/>
      <c r="D28" s="2143" t="n"/>
      <c r="E28" s="2143" t="n"/>
      <c r="F28" s="2143" t="n"/>
      <c r="G28" s="2143" t="n"/>
      <c r="H28" s="2143" t="n"/>
      <c r="I28" s="2143" t="n"/>
      <c r="J28" s="2151">
        <f>'[4]ActualSGA (Division)'!BA33</f>
        <v/>
      </c>
      <c r="K28" s="2145" t="n"/>
      <c r="L28" s="791" t="n"/>
    </row>
    <row r="29" spans="1:25">
      <c r="A29" s="2142" t="s">
        <v>153</v>
      </c>
      <c r="B29" s="2143" t="n"/>
      <c r="C29" s="2143" t="n"/>
      <c r="D29" s="2143" t="n"/>
      <c r="E29" s="2143" t="n"/>
      <c r="F29" s="2143" t="n"/>
      <c r="G29" s="2143" t="n"/>
      <c r="H29" s="2143" t="n"/>
      <c r="I29" s="2143">
        <f>C30-F30</f>
        <v/>
      </c>
      <c r="J29" s="2143">
        <f>D30-G30</f>
        <v/>
      </c>
      <c r="K29" s="2145" t="n"/>
      <c r="L29" s="2146" t="n"/>
    </row>
    <row customFormat="1" customHeight="1" ht="15" r="30" s="2152" spans="1:25" thickBot="1">
      <c r="A30" s="2153" t="s">
        <v>173</v>
      </c>
      <c r="B30" s="2154" t="n"/>
      <c r="C30" s="2155">
        <f>SUM(C15:C29)</f>
        <v/>
      </c>
      <c r="D30" s="2155">
        <f>SUM(D16:D29)</f>
        <v/>
      </c>
      <c r="E30" s="2154" t="n"/>
      <c r="F30" s="2155">
        <f>SUM(F5:F29)</f>
        <v/>
      </c>
      <c r="G30" s="2155">
        <f>SUM(G5:G29)</f>
        <v/>
      </c>
      <c r="H30" s="2154" t="n"/>
      <c r="I30" s="2155">
        <f>SUM(I5:I29)</f>
        <v/>
      </c>
      <c r="J30" s="2155">
        <f>SUM(J5:J29)</f>
        <v/>
      </c>
      <c r="K30" s="2156" t="n"/>
      <c r="L30" s="2157">
        <f>J30/D30</f>
        <v/>
      </c>
    </row>
    <row r="31" spans="1:25">
      <c r="A31" s="2128" t="n"/>
      <c r="B31" s="2129" t="n"/>
      <c r="D31" s="2129" t="n"/>
      <c r="E31" s="2129" t="n"/>
      <c r="F31" s="2129" t="n"/>
      <c r="G31" s="2129" t="n"/>
      <c r="H31" s="2129" t="n"/>
      <c r="I31" s="2129" t="n"/>
      <c r="J31" s="2129" t="n"/>
      <c r="K31" s="2129" t="n"/>
    </row>
    <row r="33" spans="1:25">
      <c r="M33" s="2158" t="s">
        <v>62</v>
      </c>
      <c r="N33" s="2158" t="s">
        <v>63</v>
      </c>
      <c r="O33" s="2158" t="s">
        <v>64</v>
      </c>
      <c r="P33" s="2158" t="s">
        <v>65</v>
      </c>
      <c r="Q33" s="2158" t="s">
        <v>66</v>
      </c>
      <c r="R33" s="2158" t="s">
        <v>67</v>
      </c>
      <c r="S33" s="2158" t="s">
        <v>69</v>
      </c>
      <c r="T33" s="2158" t="s">
        <v>70</v>
      </c>
      <c r="U33" s="2159" t="s">
        <v>71</v>
      </c>
      <c r="V33" s="2159" t="s">
        <v>72</v>
      </c>
      <c r="W33" s="2159" t="s">
        <v>73</v>
      </c>
      <c r="X33" s="2159" t="s">
        <v>74</v>
      </c>
      <c r="Y33" s="2158" t="s">
        <v>80</v>
      </c>
    </row>
    <row r="34" spans="1:25">
      <c r="L34" s="2160" t="s">
        <v>131</v>
      </c>
      <c r="M34" s="2161">
        <f>PL!E21</f>
        <v/>
      </c>
      <c r="N34" s="2161">
        <f>PL!I21</f>
        <v/>
      </c>
      <c r="O34" s="2161">
        <f>PL!M21</f>
        <v/>
      </c>
      <c r="P34" s="2162">
        <f>PL!Q21</f>
        <v/>
      </c>
      <c r="Q34" s="2162">
        <f>PL!U21</f>
        <v/>
      </c>
      <c r="R34" s="2162">
        <f>PL!Y21</f>
        <v/>
      </c>
      <c r="S34" s="2162">
        <f>PL!AC21</f>
        <v/>
      </c>
      <c r="T34" s="2162">
        <f>PL!AG21</f>
        <v/>
      </c>
      <c r="U34" s="2162">
        <f>PL!AK21</f>
        <v/>
      </c>
      <c r="V34" s="2162">
        <f>PL!AO21</f>
        <v/>
      </c>
      <c r="W34" s="2162">
        <f>PL!AS21</f>
        <v/>
      </c>
      <c r="X34" s="2162">
        <f>PL!AW21</f>
        <v/>
      </c>
      <c r="Y34" s="2162">
        <f>PL!BA21</f>
        <v/>
      </c>
    </row>
    <row r="35" spans="1:25">
      <c r="M35" s="802">
        <f>PL!E23</f>
        <v/>
      </c>
      <c r="N35" s="802">
        <f>PL!I23</f>
        <v/>
      </c>
      <c r="O35" s="802">
        <f>PL!M23</f>
        <v/>
      </c>
      <c r="P35" s="802">
        <f>PL!Q23</f>
        <v/>
      </c>
      <c r="Q35" s="802">
        <f>PL!U23</f>
        <v/>
      </c>
      <c r="R35" s="802">
        <f>PL!Y23</f>
        <v/>
      </c>
      <c r="S35" s="802">
        <f>PL!AC23</f>
        <v/>
      </c>
      <c r="T35" s="802">
        <f>PL!AG23</f>
        <v/>
      </c>
      <c r="U35" s="802">
        <f>PL!AK23</f>
        <v/>
      </c>
      <c r="V35" s="802">
        <f>PL!AO23</f>
        <v/>
      </c>
      <c r="W35" s="802">
        <f>PL!AS23</f>
        <v/>
      </c>
      <c r="X35" s="802">
        <f>PL!AW23</f>
        <v/>
      </c>
      <c r="Y35" s="802">
        <f>PL!BA23</f>
        <v/>
      </c>
    </row>
  </sheetData>
  <mergeCells count="4">
    <mergeCell ref="C3:D3"/>
    <mergeCell ref="F3:G3"/>
    <mergeCell ref="I3:J3"/>
    <mergeCell ref="L34:L35"/>
  </mergeCells>
  <pageMargins bottom="1" footer="0.5" header="0.5" left="0.75" right="0.75" top="1"/>
  <pageSetup orientation="portrait" scale="71"/>
  <drawing r:id="rId1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Q26"/>
  <sheetViews>
    <sheetView workbookViewId="0" zoomScale="80" zoomScaleNormal="80">
      <selection activeCell="A1" sqref="A1:G1"/>
    </sheetView>
  </sheetViews>
  <sheetFormatPr baseColWidth="8" defaultColWidth="8.75" defaultRowHeight="14.25" outlineLevelCol="0"/>
  <cols>
    <col customWidth="1" max="3" min="1" style="2163" width="8.75"/>
    <col customWidth="1" max="4" min="4" style="2163" width="1.375"/>
    <col customWidth="1" max="5" min="5" style="2163" width="8.75"/>
    <col customWidth="1" max="7" min="6" style="2163" width="8.75"/>
    <col customWidth="1" max="8" min="8" style="2163" width="5.375"/>
    <col customWidth="1" max="9" min="9" style="2163" width="9.375"/>
    <col customWidth="1" max="11" min="10" style="2163" width="8.75"/>
    <col customWidth="1" max="12" min="12" style="2163" width="1.25"/>
    <col customWidth="1" max="15" min="13" style="2163" width="8.75"/>
    <col customWidth="1" max="16" min="16" style="2163" width="5.875"/>
    <col customWidth="1" max="17" min="17" style="2163" width="11.125"/>
    <col customWidth="1" max="18" min="18" style="2164" width="8"/>
    <col customWidth="1" max="19" min="19" style="2164" width="7.25"/>
    <col customWidth="1" max="20" min="20" style="2164" width="1.625"/>
    <col customWidth="1" max="21" min="21" style="2164" width="7.125"/>
    <col customWidth="1" max="22" min="22" style="2164" width="9.375"/>
    <col customWidth="1" max="23" min="23" style="2164" width="9.875"/>
    <col customWidth="1" max="27" min="24" style="2163" width="8.75"/>
    <col customWidth="1" max="28" min="28" style="2163" width="1.625"/>
    <col customWidth="1" max="35" min="29" style="2163" width="8.75"/>
    <col customWidth="1" max="36" min="36" style="2163" width="1.5"/>
    <col customWidth="1" max="43" min="37" style="2163" width="8.75"/>
    <col customWidth="1" max="44" min="44" style="2163" width="1.5"/>
    <col customWidth="1" max="51" min="45" style="2163" width="8.75"/>
    <col customWidth="1" max="52" min="52" style="2163" width="1.5"/>
    <col customWidth="1" max="59" min="53" style="2163" width="8.75"/>
    <col customWidth="1" max="60" min="60" style="2163" width="1.5"/>
    <col customWidth="1" max="67" min="61" style="2163" width="8.75"/>
    <col customWidth="1" max="68" min="68" style="2163" width="1.5"/>
    <col customWidth="1" max="75" min="69" style="2163" width="8.75"/>
    <col customWidth="1" max="76" min="76" style="2163" width="1.5"/>
    <col customWidth="1" max="83" min="77" style="2163" width="8.75"/>
    <col customWidth="1" max="84" min="84" style="2163" width="1.5"/>
    <col customWidth="1" max="87" min="85" style="2163" width="8.75"/>
    <col customWidth="1" max="88" min="88" style="2163" width="8"/>
    <col customWidth="1" max="91" min="89" style="2163" width="8.75"/>
    <col customWidth="1" max="92" min="92" style="2163" width="1.5"/>
    <col customWidth="1" max="16384" min="93" style="2163" width="8.75"/>
  </cols>
  <sheetData>
    <row r="1" spans="1:95">
      <c r="A1" s="2165" t="s">
        <v>62</v>
      </c>
      <c r="I1" s="2165" t="s">
        <v>63</v>
      </c>
      <c r="Q1" s="2165" t="s">
        <v>64</v>
      </c>
      <c r="Y1" s="2165" t="s">
        <v>174</v>
      </c>
      <c r="AG1" s="2165" t="s">
        <v>66</v>
      </c>
      <c r="AO1" s="2165" t="s">
        <v>67</v>
      </c>
      <c r="AW1" s="2165" t="s">
        <v>69</v>
      </c>
      <c r="BE1" s="2165" t="s">
        <v>70</v>
      </c>
      <c r="BM1" s="2165" t="s">
        <v>71</v>
      </c>
      <c r="BU1" s="2165" t="s">
        <v>72</v>
      </c>
      <c r="CC1" s="2165" t="s">
        <v>73</v>
      </c>
      <c r="CK1" s="2165" t="s">
        <v>74</v>
      </c>
    </row>
    <row r="2" spans="1:95">
      <c r="A2" s="2166" t="s">
        <v>175</v>
      </c>
      <c r="B2" s="2167" t="s">
        <v>176</v>
      </c>
      <c r="C2" s="2168" t="s">
        <v>79</v>
      </c>
      <c r="D2" s="2164" t="n"/>
      <c r="E2" s="2169" t="s">
        <v>176</v>
      </c>
      <c r="F2" s="2169" t="s">
        <v>177</v>
      </c>
      <c r="G2" s="2169" t="s">
        <v>178</v>
      </c>
      <c r="I2" s="2166" t="s">
        <v>175</v>
      </c>
      <c r="J2" s="2167" t="s">
        <v>176</v>
      </c>
      <c r="K2" s="2168" t="s">
        <v>79</v>
      </c>
      <c r="L2" s="2164" t="n"/>
      <c r="M2" s="2169" t="s">
        <v>176</v>
      </c>
      <c r="N2" s="2169" t="s">
        <v>177</v>
      </c>
      <c r="O2" s="2169" t="s">
        <v>178</v>
      </c>
      <c r="Q2" s="2166" t="s">
        <v>175</v>
      </c>
      <c r="R2" s="2167" t="s">
        <v>176</v>
      </c>
      <c r="S2" s="2168" t="s">
        <v>79</v>
      </c>
      <c r="T2" s="2164" t="n"/>
      <c r="U2" s="2169" t="s">
        <v>176</v>
      </c>
      <c r="V2" s="2169" t="s">
        <v>177</v>
      </c>
      <c r="W2" s="2169" t="s">
        <v>178</v>
      </c>
      <c r="Y2" s="2166" t="s">
        <v>175</v>
      </c>
      <c r="Z2" s="2167" t="s">
        <v>176</v>
      </c>
      <c r="AA2" s="2168" t="s">
        <v>79</v>
      </c>
      <c r="AB2" s="2164" t="n"/>
      <c r="AC2" s="2169" t="s">
        <v>176</v>
      </c>
      <c r="AD2" s="2169" t="s">
        <v>177</v>
      </c>
      <c r="AE2" s="2169" t="s">
        <v>178</v>
      </c>
      <c r="AG2" s="2166" t="s">
        <v>175</v>
      </c>
      <c r="AH2" s="2167" t="s">
        <v>176</v>
      </c>
      <c r="AI2" s="2168" t="s">
        <v>79</v>
      </c>
      <c r="AJ2" s="2164" t="n"/>
      <c r="AK2" s="2169" t="s">
        <v>176</v>
      </c>
      <c r="AL2" s="2169" t="s">
        <v>177</v>
      </c>
      <c r="AM2" s="2169" t="s">
        <v>178</v>
      </c>
      <c r="AO2" s="2166" t="s">
        <v>175</v>
      </c>
      <c r="AP2" s="2167" t="s">
        <v>176</v>
      </c>
      <c r="AQ2" s="2168" t="s">
        <v>79</v>
      </c>
      <c r="AR2" s="2164" t="n"/>
      <c r="AS2" s="2169" t="s">
        <v>176</v>
      </c>
      <c r="AT2" s="2169" t="s">
        <v>177</v>
      </c>
      <c r="AU2" s="2169" t="s">
        <v>178</v>
      </c>
      <c r="AW2" s="2166" t="s">
        <v>175</v>
      </c>
      <c r="AX2" s="2167" t="s">
        <v>176</v>
      </c>
      <c r="AY2" s="2168" t="s">
        <v>79</v>
      </c>
      <c r="AZ2" s="2164" t="n"/>
      <c r="BA2" s="2169" t="s">
        <v>176</v>
      </c>
      <c r="BB2" s="2169" t="s">
        <v>177</v>
      </c>
      <c r="BC2" s="2169" t="s">
        <v>178</v>
      </c>
      <c r="BE2" s="2166" t="s">
        <v>175</v>
      </c>
      <c r="BF2" s="2167" t="s">
        <v>176</v>
      </c>
      <c r="BG2" s="2168" t="s">
        <v>79</v>
      </c>
      <c r="BH2" s="2164" t="n"/>
      <c r="BI2" s="2169" t="s">
        <v>176</v>
      </c>
      <c r="BJ2" s="2169" t="s">
        <v>177</v>
      </c>
      <c r="BK2" s="2169" t="s">
        <v>178</v>
      </c>
      <c r="BM2" s="2166" t="s">
        <v>175</v>
      </c>
      <c r="BN2" s="2167" t="s">
        <v>176</v>
      </c>
      <c r="BO2" s="2168" t="s">
        <v>79</v>
      </c>
      <c r="BP2" s="2164" t="n"/>
      <c r="BQ2" s="2169" t="s">
        <v>176</v>
      </c>
      <c r="BR2" s="2169" t="s">
        <v>177</v>
      </c>
      <c r="BS2" s="2169" t="s">
        <v>178</v>
      </c>
      <c r="BU2" s="2166" t="s">
        <v>175</v>
      </c>
      <c r="BV2" s="2167" t="s">
        <v>176</v>
      </c>
      <c r="BW2" s="2168" t="s">
        <v>79</v>
      </c>
      <c r="BX2" s="2164" t="n"/>
      <c r="BY2" s="2169" t="s">
        <v>176</v>
      </c>
      <c r="BZ2" s="2169" t="s">
        <v>177</v>
      </c>
      <c r="CA2" s="2169" t="s">
        <v>178</v>
      </c>
      <c r="CC2" s="2166" t="s">
        <v>175</v>
      </c>
      <c r="CD2" s="2167" t="s">
        <v>176</v>
      </c>
      <c r="CE2" s="2168" t="s">
        <v>79</v>
      </c>
      <c r="CF2" s="2164" t="n"/>
      <c r="CG2" s="2169" t="s">
        <v>176</v>
      </c>
      <c r="CH2" s="2169" t="s">
        <v>177</v>
      </c>
      <c r="CI2" s="2169" t="s">
        <v>178</v>
      </c>
      <c r="CK2" s="2166" t="s">
        <v>175</v>
      </c>
      <c r="CL2" s="2167" t="s">
        <v>176</v>
      </c>
      <c r="CM2" s="2168" t="s">
        <v>79</v>
      </c>
      <c r="CN2" s="2164" t="n"/>
      <c r="CO2" s="2169" t="s">
        <v>176</v>
      </c>
      <c r="CP2" s="2169" t="s">
        <v>177</v>
      </c>
      <c r="CQ2" s="2169" t="s">
        <v>178</v>
      </c>
    </row>
    <row r="3" spans="1:95">
      <c r="A3" s="2170" t="s">
        <v>94</v>
      </c>
      <c r="B3" s="201" t="n">
        <v>0</v>
      </c>
      <c r="C3" s="200">
        <f>PL!E45</f>
        <v/>
      </c>
      <c r="D3" s="203" t="n"/>
      <c r="E3" s="201">
        <f>IF(C3&lt;0,B3+C3,B3)</f>
        <v/>
      </c>
      <c r="F3" s="2171">
        <f>IF(C3&lt;0,ABS(C3),0)</f>
        <v/>
      </c>
      <c r="G3" s="2171">
        <f>IF(C3&gt;0,C3,0)</f>
        <v/>
      </c>
      <c r="I3" s="2170" t="s">
        <v>94</v>
      </c>
      <c r="J3" s="201" t="n">
        <v>0</v>
      </c>
      <c r="K3" s="200">
        <f>PL!I45</f>
        <v/>
      </c>
      <c r="L3" s="203" t="n"/>
      <c r="M3" s="201">
        <f>IF(K3&lt;0,J3+K3,J3)</f>
        <v/>
      </c>
      <c r="N3" s="201">
        <f>IF(K3&lt;0,ABS(K3),0)</f>
        <v/>
      </c>
      <c r="O3" s="2171">
        <f>IF(K3&gt;0,K3,0)</f>
        <v/>
      </c>
      <c r="Q3" s="2170" t="s">
        <v>94</v>
      </c>
      <c r="R3" s="201" t="n">
        <v>0</v>
      </c>
      <c r="S3" s="200">
        <f>PL!M45</f>
        <v/>
      </c>
      <c r="T3" s="203" t="n"/>
      <c r="U3" s="201">
        <f>IF(S3&lt;0,R3+S3,R3)</f>
        <v/>
      </c>
      <c r="V3" s="201">
        <f>IF(S3&lt;0,ABS(S3),0)</f>
        <v/>
      </c>
      <c r="W3" s="201">
        <f>IF(S3&gt;0,S3,0)</f>
        <v/>
      </c>
      <c r="Y3" s="2170" t="s">
        <v>94</v>
      </c>
      <c r="Z3" s="201" t="n">
        <v>0</v>
      </c>
      <c r="AA3" s="200">
        <f>PL!Q45</f>
        <v/>
      </c>
      <c r="AB3" s="203" t="n"/>
      <c r="AC3" s="201">
        <f>IF(AA3&lt;0,Z3+AA3,Z3)</f>
        <v/>
      </c>
      <c r="AD3" s="201">
        <f>IF(AA3&lt;0,ABS(AA3),0)</f>
        <v/>
      </c>
      <c r="AE3" s="201">
        <f>IF(AA3&gt;0,AA3,0)</f>
        <v/>
      </c>
      <c r="AG3" s="2170" t="s">
        <v>94</v>
      </c>
      <c r="AH3" s="201" t="n">
        <v>0</v>
      </c>
      <c r="AI3" s="200">
        <f>PL!U45</f>
        <v/>
      </c>
      <c r="AJ3" s="203" t="n"/>
      <c r="AK3" s="201">
        <f>IF(AI3&lt;0,AH3+AI3,AH3)</f>
        <v/>
      </c>
      <c r="AL3" s="201">
        <f>IF(AI3&lt;0,ABS(AI3),0)</f>
        <v/>
      </c>
      <c r="AM3" s="201">
        <f>IF(AI3&gt;0,AI3,0)</f>
        <v/>
      </c>
      <c r="AO3" s="2170" t="s">
        <v>94</v>
      </c>
      <c r="AP3" s="201" t="n">
        <v>0</v>
      </c>
      <c r="AQ3" s="200">
        <f>PL!Y45</f>
        <v/>
      </c>
      <c r="AR3" s="203" t="n"/>
      <c r="AS3" s="201">
        <f>IF(AQ3&lt;0,AP3+AQ3,AP3)</f>
        <v/>
      </c>
      <c r="AT3" s="201">
        <f>IF(AQ3&lt;0,ABS(AQ3),0)</f>
        <v/>
      </c>
      <c r="AU3" s="201">
        <f>IF(AQ3&gt;0,AQ3,0)</f>
        <v/>
      </c>
      <c r="AW3" s="2170" t="s">
        <v>94</v>
      </c>
      <c r="AX3" s="201" t="n">
        <v>0</v>
      </c>
      <c r="AY3" s="200">
        <f>PL!AC45</f>
        <v/>
      </c>
      <c r="AZ3" s="203" t="n"/>
      <c r="BA3" s="201">
        <f>IF(AY3&lt;0,AX3+AY3,AX3)</f>
        <v/>
      </c>
      <c r="BB3" s="201">
        <f>IF(AY3&lt;0,ABS(AY3),0)</f>
        <v/>
      </c>
      <c r="BC3" s="201">
        <f>IF(AY3&gt;0,AY3,0)</f>
        <v/>
      </c>
      <c r="BE3" s="2170" t="s">
        <v>94</v>
      </c>
      <c r="BF3" s="201" t="n">
        <v>0</v>
      </c>
      <c r="BG3" s="200">
        <f>PL!AG45</f>
        <v/>
      </c>
      <c r="BH3" s="203" t="n"/>
      <c r="BI3" s="201">
        <f>IF(BG3&lt;0,BF3+BG3,BF3)</f>
        <v/>
      </c>
      <c r="BJ3" s="201">
        <f>IF(BG3&lt;0,ABS(BG3),0)</f>
        <v/>
      </c>
      <c r="BK3" s="201">
        <f>IF(BG3&gt;0,BG3,0)</f>
        <v/>
      </c>
      <c r="BM3" s="2170" t="s">
        <v>94</v>
      </c>
      <c r="BN3" s="201" t="n">
        <v>0</v>
      </c>
      <c r="BO3" s="200">
        <f>PL!AK45</f>
        <v/>
      </c>
      <c r="BP3" s="203" t="n"/>
      <c r="BQ3" s="201">
        <f>IF(BO3&lt;0,BN3+BO3,BN3)</f>
        <v/>
      </c>
      <c r="BR3" s="201">
        <f>IF(BO3&lt;0,ABS(BO3),0)</f>
        <v/>
      </c>
      <c r="BS3" s="201">
        <f>IF(BO3&gt;0,BO3,0)</f>
        <v/>
      </c>
      <c r="BU3" s="2170" t="s">
        <v>94</v>
      </c>
      <c r="BV3" s="201" t="n">
        <v>0</v>
      </c>
      <c r="BW3" s="200">
        <f>PL!AO45</f>
        <v/>
      </c>
      <c r="BX3" s="203" t="n"/>
      <c r="BY3" s="201">
        <f>IF(BW3&lt;0,BV3+BW3,BV3)</f>
        <v/>
      </c>
      <c r="BZ3" s="201">
        <f>IF(BW3&lt;0,ABS(BW3),0)</f>
        <v/>
      </c>
      <c r="CA3" s="201">
        <f>IF(BW3&gt;0,BW3,0)</f>
        <v/>
      </c>
      <c r="CC3" s="2170" t="s">
        <v>94</v>
      </c>
      <c r="CD3" s="201" t="n">
        <v>0</v>
      </c>
      <c r="CE3" s="200">
        <f>PL!AS45</f>
        <v/>
      </c>
      <c r="CF3" s="203" t="n"/>
      <c r="CG3" s="201">
        <f>IF(CE3&lt;0,CD3+CE3,CD3)</f>
        <v/>
      </c>
      <c r="CH3" s="201">
        <f>IF(CE3&lt;0,ABS(CE3),0)</f>
        <v/>
      </c>
      <c r="CI3" s="201">
        <f>IF(CE3&gt;0,CE3,0)</f>
        <v/>
      </c>
      <c r="CK3" s="2170" t="s">
        <v>94</v>
      </c>
      <c r="CL3" s="201" t="n">
        <v>0</v>
      </c>
      <c r="CM3" s="200">
        <f>PL!AW45</f>
        <v/>
      </c>
      <c r="CN3" s="203" t="n"/>
      <c r="CO3" s="201">
        <f>IF(CM3&lt;0,CL3+CM3,CL3)</f>
        <v/>
      </c>
      <c r="CP3" s="201">
        <f>IF(CM3&lt;0,ABS(CM3),0)</f>
        <v/>
      </c>
      <c r="CQ3" s="201">
        <f>IF(CM3&gt;0,CM3,0)</f>
        <v/>
      </c>
    </row>
    <row r="4" spans="1:95">
      <c r="A4" s="2170" t="s">
        <v>104</v>
      </c>
      <c r="B4" s="201">
        <f>SUM(G$3:$G3)-SUM(F$3:$F3)</f>
        <v/>
      </c>
      <c r="C4" s="200">
        <f>PL!E214</f>
        <v/>
      </c>
      <c r="D4" s="203" t="n"/>
      <c r="E4" s="201">
        <f>IF(C4&lt;0,B4+C4,B4)</f>
        <v/>
      </c>
      <c r="F4" s="2171">
        <f>IF(C4&lt;0,ABS(C4),0)</f>
        <v/>
      </c>
      <c r="G4" s="2171">
        <f>IF(C4&gt;0,C4,0)</f>
        <v/>
      </c>
      <c r="I4" s="2170" t="s">
        <v>104</v>
      </c>
      <c r="J4" s="201">
        <f>SUM(O$3:$O3)-SUM(N$3:$N3)</f>
        <v/>
      </c>
      <c r="K4" s="200">
        <f>PL!I214</f>
        <v/>
      </c>
      <c r="L4" s="203" t="n"/>
      <c r="M4" s="201">
        <f>IF(K4&lt;0,J4+K4,J4)</f>
        <v/>
      </c>
      <c r="N4" s="201">
        <f>IF(K4&lt;0,ABS(K4),0)</f>
        <v/>
      </c>
      <c r="O4" s="2171">
        <f>IF(K4&gt;0,K4,0)</f>
        <v/>
      </c>
      <c r="Q4" s="2170" t="s">
        <v>104</v>
      </c>
      <c r="R4" s="201">
        <f>SUM($W$3:W3)-SUM($V$3:V3)</f>
        <v/>
      </c>
      <c r="S4" s="200">
        <f>PL!M214</f>
        <v/>
      </c>
      <c r="T4" s="203" t="n"/>
      <c r="U4" s="201">
        <f>IF(S4&lt;0,R4+S4,R4)</f>
        <v/>
      </c>
      <c r="V4" s="201">
        <f>IF(S4&lt;0,ABS(S4),0)</f>
        <v/>
      </c>
      <c r="W4" s="201">
        <f>IF(S4&gt;0,S4,0)</f>
        <v/>
      </c>
      <c r="Y4" s="2170" t="s">
        <v>104</v>
      </c>
      <c r="Z4" s="201">
        <f>SUM($AE$3:AE3)-SUM($AD$3:AD3)</f>
        <v/>
      </c>
      <c r="AA4" s="200">
        <f>PL!Q214</f>
        <v/>
      </c>
      <c r="AB4" s="203" t="n"/>
      <c r="AC4" s="201">
        <f>IF(AA4&lt;0,Z4+AA4,Z4)</f>
        <v/>
      </c>
      <c r="AD4" s="201">
        <f>IF(AA4&lt;0,ABS(AA4),0)</f>
        <v/>
      </c>
      <c r="AE4" s="201">
        <f>IF(AA4&gt;0,AA4,0)</f>
        <v/>
      </c>
      <c r="AG4" s="2170" t="s">
        <v>104</v>
      </c>
      <c r="AH4" s="201">
        <f>SUM($AM$3:AM3)-SUM($AL$3:AL3)</f>
        <v/>
      </c>
      <c r="AI4" s="200">
        <f>PL!U214</f>
        <v/>
      </c>
      <c r="AJ4" s="203" t="n"/>
      <c r="AK4" s="201">
        <f>IF(AI4&lt;0,AH4+AI4,AH4)</f>
        <v/>
      </c>
      <c r="AL4" s="201">
        <f>IF(AI4&lt;0,ABS(AI4),0)</f>
        <v/>
      </c>
      <c r="AM4" s="201">
        <f>IF(AI4&gt;0,AI4,0)</f>
        <v/>
      </c>
      <c r="AO4" s="2170" t="s">
        <v>104</v>
      </c>
      <c r="AP4" s="201">
        <f>SUM($AU$3:AU3)-SUM($AT$3:AT3)</f>
        <v/>
      </c>
      <c r="AQ4" s="200">
        <f>PL!Y214</f>
        <v/>
      </c>
      <c r="AR4" s="203" t="n"/>
      <c r="AS4" s="201">
        <f>IF(AQ4&lt;0,AP4+AQ4,AP4)</f>
        <v/>
      </c>
      <c r="AT4" s="201">
        <f>IF(AQ4&lt;0,ABS(AQ4),0)</f>
        <v/>
      </c>
      <c r="AU4" s="201">
        <f>IF(AQ4&gt;0,AQ4,0)</f>
        <v/>
      </c>
      <c r="AW4" s="2170" t="s">
        <v>104</v>
      </c>
      <c r="AX4" s="201">
        <f>SUM($BC$3:BC3)-SUM($BB$3:BB3)</f>
        <v/>
      </c>
      <c r="AY4" s="200">
        <f>PL!AC214</f>
        <v/>
      </c>
      <c r="AZ4" s="203" t="n"/>
      <c r="BA4" s="201">
        <f>IF(AY4&lt;0,AX4+AY4,AX4)</f>
        <v/>
      </c>
      <c r="BB4" s="201">
        <f>IF(AY4&lt;0,ABS(AY4),0)</f>
        <v/>
      </c>
      <c r="BC4" s="201">
        <f>IF(AY4&gt;0,AY4,0)</f>
        <v/>
      </c>
      <c r="BE4" s="2170" t="s">
        <v>104</v>
      </c>
      <c r="BF4" s="201">
        <f>SUM($BK$3:BK3)-SUM($BJ$3:BJ3)</f>
        <v/>
      </c>
      <c r="BG4" s="200">
        <f>PL!AG214</f>
        <v/>
      </c>
      <c r="BH4" s="203" t="n"/>
      <c r="BI4" s="201">
        <f>IF(BG4&lt;0,BF4+BG4,BF4)</f>
        <v/>
      </c>
      <c r="BJ4" s="201">
        <f>IF(BG4&lt;0,ABS(BG4),0)</f>
        <v/>
      </c>
      <c r="BK4" s="201">
        <f>IF(BG4&gt;0,BG4,0)</f>
        <v/>
      </c>
      <c r="BM4" s="2170" t="s">
        <v>104</v>
      </c>
      <c r="BN4" s="201">
        <f>SUM($BS$3:BS3)-SUM($BR$3:BR3)</f>
        <v/>
      </c>
      <c r="BO4" s="200">
        <f>PL!AK214</f>
        <v/>
      </c>
      <c r="BP4" s="203" t="n"/>
      <c r="BQ4" s="201">
        <f>IF(BO4&lt;0,BN4+BO4,BN4)</f>
        <v/>
      </c>
      <c r="BR4" s="201">
        <f>IF(BO4&lt;0,ABS(BO4),0)</f>
        <v/>
      </c>
      <c r="BS4" s="201">
        <f>IF(BO4&gt;0,BO4,0)</f>
        <v/>
      </c>
      <c r="BU4" s="2170" t="s">
        <v>104</v>
      </c>
      <c r="BV4" s="201">
        <f>SUM($CA$3:CA3)-SUM($BZ$3:BZ3)</f>
        <v/>
      </c>
      <c r="BW4" s="200">
        <f>PL!AO214</f>
        <v/>
      </c>
      <c r="BX4" s="203" t="n"/>
      <c r="BY4" s="201">
        <f>IF(BW4&lt;0,BV4+BW4,BV4)</f>
        <v/>
      </c>
      <c r="BZ4" s="201">
        <f>IF(BW4&lt;0,ABS(BW4),0)</f>
        <v/>
      </c>
      <c r="CA4" s="201">
        <f>IF(BW4&gt;0,BW4,0)</f>
        <v/>
      </c>
      <c r="CC4" s="2170" t="s">
        <v>104</v>
      </c>
      <c r="CD4" s="201">
        <f>SUM($CI$3:CI3)-SUM($CH$3:CH3)</f>
        <v/>
      </c>
      <c r="CE4" s="200">
        <f>PL!AS214</f>
        <v/>
      </c>
      <c r="CF4" s="203" t="n"/>
      <c r="CG4" s="201">
        <f>IF(CE4&lt;0,CD4+CE4,CD4)</f>
        <v/>
      </c>
      <c r="CH4" s="201">
        <f>IF(CE4&lt;0,ABS(CE4),0)</f>
        <v/>
      </c>
      <c r="CI4" s="201">
        <f>IF(CE4&gt;0,CE4,0)</f>
        <v/>
      </c>
      <c r="CK4" s="2170" t="s">
        <v>104</v>
      </c>
      <c r="CL4" s="201">
        <f>SUM($CQ$3:CQ3)-SUM($CP$3:CP3)</f>
        <v/>
      </c>
      <c r="CM4" s="200">
        <f>PL!AW214</f>
        <v/>
      </c>
      <c r="CN4" s="203" t="n"/>
      <c r="CO4" s="201">
        <f>IF(CM4&lt;0,CL4+CM4,CL4)</f>
        <v/>
      </c>
      <c r="CP4" s="201">
        <f>IF(CM4&lt;0,ABS(CM4),0)</f>
        <v/>
      </c>
      <c r="CQ4" s="201">
        <f>IF(CM4&gt;0,CM4,0)</f>
        <v/>
      </c>
    </row>
    <row customFormat="1" r="5" s="2172" spans="1:95">
      <c r="A5" s="2170" t="s">
        <v>108</v>
      </c>
      <c r="B5" s="201">
        <f>SUM(G$3:$G4)-SUM(F$3:$F4)</f>
        <v/>
      </c>
      <c r="C5" s="200">
        <f>PL!E310</f>
        <v/>
      </c>
      <c r="D5" s="203" t="n"/>
      <c r="E5" s="201">
        <f>IF(C5&lt;0,B5+C5,B5)</f>
        <v/>
      </c>
      <c r="F5" s="2171">
        <f>IF(C5&lt;0,ABS(C5),0)</f>
        <v/>
      </c>
      <c r="G5" s="2171">
        <f>IF(C5&gt;0,C5,0)</f>
        <v/>
      </c>
      <c r="H5" s="2163" t="n"/>
      <c r="I5" s="2170" t="s">
        <v>108</v>
      </c>
      <c r="J5" s="201">
        <f>SUM(O$3:$O4)-SUM(N$3:$N4)</f>
        <v/>
      </c>
      <c r="K5" s="200">
        <f>PL!I310</f>
        <v/>
      </c>
      <c r="L5" s="203" t="n"/>
      <c r="M5" s="201">
        <f>IF(K5&lt;0,J5+K5,J5)</f>
        <v/>
      </c>
      <c r="N5" s="201">
        <f>IF(K5&lt;0,ABS(K5),0)</f>
        <v/>
      </c>
      <c r="O5" s="2171">
        <f>IF(K5&gt;0,K5,0)</f>
        <v/>
      </c>
      <c r="P5" s="2163" t="n"/>
      <c r="Q5" s="2170" t="s">
        <v>108</v>
      </c>
      <c r="R5" s="201">
        <f>SUM($W$3:W4)-SUM($V$3:V4)</f>
        <v/>
      </c>
      <c r="S5" s="200">
        <f>PL!M310</f>
        <v/>
      </c>
      <c r="T5" s="203" t="n"/>
      <c r="U5" s="201">
        <f>IF(S5&lt;0,R5+S5,R5)</f>
        <v/>
      </c>
      <c r="V5" s="201">
        <f>IF(S5&lt;0,ABS(S5),0)</f>
        <v/>
      </c>
      <c r="W5" s="201">
        <f>IF(S5&gt;0,S5,0)</f>
        <v/>
      </c>
      <c r="X5" s="2163" t="n"/>
      <c r="Y5" s="2170" t="s">
        <v>108</v>
      </c>
      <c r="Z5" s="201">
        <f>SUM($AE$3:AE4)-SUM($AD$3:AD4)</f>
        <v/>
      </c>
      <c r="AA5" s="200">
        <f>PL!Q310</f>
        <v/>
      </c>
      <c r="AB5" s="203" t="n"/>
      <c r="AC5" s="201">
        <f>IF(AA5&lt;0,Z5+AA5,Z5)</f>
        <v/>
      </c>
      <c r="AD5" s="201">
        <f>IF(AA5&lt;0,ABS(AA5),0)</f>
        <v/>
      </c>
      <c r="AE5" s="201">
        <f>IF(AA5&gt;0,AA5,0)</f>
        <v/>
      </c>
      <c r="AF5" s="2163" t="n"/>
      <c r="AG5" s="2170" t="s">
        <v>108</v>
      </c>
      <c r="AH5" s="201">
        <f>SUM($AM$3:AM4)-SUM($AL$3:AL4)</f>
        <v/>
      </c>
      <c r="AI5" s="200">
        <f>PL!U310</f>
        <v/>
      </c>
      <c r="AJ5" s="203" t="n"/>
      <c r="AK5" s="201">
        <f>IF(AI5&lt;0,AH5+AI5,AH5)</f>
        <v/>
      </c>
      <c r="AL5" s="201">
        <f>IF(AI5&lt;0,ABS(AI5),0)</f>
        <v/>
      </c>
      <c r="AM5" s="201">
        <f>IF(AI5&gt;0,AI5,0)</f>
        <v/>
      </c>
      <c r="AN5" s="2163" t="n"/>
      <c r="AO5" s="2170" t="s">
        <v>108</v>
      </c>
      <c r="AP5" s="201">
        <f>SUM($AU$3:AU4)-SUM($AT$3:AT4)</f>
        <v/>
      </c>
      <c r="AQ5" s="200">
        <f>PL!Y310</f>
        <v/>
      </c>
      <c r="AR5" s="203" t="n"/>
      <c r="AS5" s="201">
        <f>IF(AQ5&lt;0,AP5+AQ5,AP5)</f>
        <v/>
      </c>
      <c r="AT5" s="201">
        <f>IF(AQ5&lt;0,ABS(AQ5),0)</f>
        <v/>
      </c>
      <c r="AU5" s="201">
        <f>IF(AQ5&gt;0,AQ5,0)</f>
        <v/>
      </c>
      <c r="AV5" s="2163" t="n"/>
      <c r="AW5" s="2170" t="s">
        <v>108</v>
      </c>
      <c r="AX5" s="201">
        <f>SUM(BC$3:$BC4)-SUM($BB$3:BB4)</f>
        <v/>
      </c>
      <c r="AY5" s="200">
        <f>PL!AC310</f>
        <v/>
      </c>
      <c r="AZ5" s="203" t="n"/>
      <c r="BA5" s="201">
        <f>IF(AY5&lt;0,AX5+AY5,AX5)</f>
        <v/>
      </c>
      <c r="BB5" s="201">
        <f>IF(AY5&lt;0,ABS(AY5),0)</f>
        <v/>
      </c>
      <c r="BC5" s="201">
        <f>IF(AY5&gt;0,AY5,0)</f>
        <v/>
      </c>
      <c r="BD5" s="2163" t="n"/>
      <c r="BE5" s="2170" t="s">
        <v>108</v>
      </c>
      <c r="BF5" s="201">
        <f>SUM($BK$3:BK4)-SUM($BJ$3:BJ4)</f>
        <v/>
      </c>
      <c r="BG5" s="200">
        <f>PL!AG310</f>
        <v/>
      </c>
      <c r="BH5" s="203" t="n"/>
      <c r="BI5" s="201">
        <f>IF(BG5&lt;0,BF5+BG5,BF5)</f>
        <v/>
      </c>
      <c r="BJ5" s="201">
        <f>IF(BG5&lt;0,ABS(BG5),0)</f>
        <v/>
      </c>
      <c r="BK5" s="201">
        <f>IF(BG5&gt;0,BG5,0)</f>
        <v/>
      </c>
      <c r="BL5" s="2163" t="n"/>
      <c r="BM5" s="2170" t="s">
        <v>108</v>
      </c>
      <c r="BN5" s="201">
        <f>SUM($BS$3:BS4)-SUM($BR$3:BR4)</f>
        <v/>
      </c>
      <c r="BO5" s="200">
        <f>PL!AK310</f>
        <v/>
      </c>
      <c r="BP5" s="203" t="n"/>
      <c r="BQ5" s="201">
        <f>IF(BO5&lt;0,BN5+BO5,BN5)</f>
        <v/>
      </c>
      <c r="BR5" s="201">
        <f>IF(BO5&lt;0,ABS(BO5),0)</f>
        <v/>
      </c>
      <c r="BS5" s="201">
        <f>IF(BO5&gt;0,BO5,0)</f>
        <v/>
      </c>
      <c r="BT5" s="2163" t="n"/>
      <c r="BU5" s="2170" t="s">
        <v>108</v>
      </c>
      <c r="BV5" s="201">
        <f>SUM($CA$3:CA4)-SUM($BZ$3:BZ4)</f>
        <v/>
      </c>
      <c r="BW5" s="200">
        <f>PL!AO310</f>
        <v/>
      </c>
      <c r="BX5" s="203" t="n"/>
      <c r="BY5" s="201">
        <f>IF(BW5&lt;0,BV5+BW5,BV5)</f>
        <v/>
      </c>
      <c r="BZ5" s="201">
        <f>IF(BW5&lt;0,ABS(BW5),0)</f>
        <v/>
      </c>
      <c r="CA5" s="201">
        <f>IF(BW5&gt;0,BW5,0)</f>
        <v/>
      </c>
      <c r="CB5" s="2163" t="n"/>
      <c r="CC5" s="2170" t="s">
        <v>108</v>
      </c>
      <c r="CD5" s="201">
        <f>SUM($CI$3:CI4)-SUM($CH$3:CH4)</f>
        <v/>
      </c>
      <c r="CE5" s="200">
        <f>PL!AS310</f>
        <v/>
      </c>
      <c r="CF5" s="203" t="n"/>
      <c r="CG5" s="201">
        <f>IF(CE5&lt;0,CD5+CE5,CD5)</f>
        <v/>
      </c>
      <c r="CH5" s="201">
        <f>IF(CE5&lt;0,ABS(CE5),0)</f>
        <v/>
      </c>
      <c r="CI5" s="201">
        <f>IF(CE5&gt;0,CE5,0)</f>
        <v/>
      </c>
      <c r="CJ5" s="2163" t="n"/>
      <c r="CK5" s="2170" t="s">
        <v>108</v>
      </c>
      <c r="CL5" s="201">
        <f>SUM($CQ$3:CQ4)-SUM($CP$3:CP4)</f>
        <v/>
      </c>
      <c r="CM5" s="200">
        <f>PL!AW310</f>
        <v/>
      </c>
      <c r="CN5" s="203" t="n"/>
      <c r="CO5" s="201">
        <f>IF(CM5&lt;0,CL5+CM5,CL5)</f>
        <v/>
      </c>
      <c r="CP5" s="201">
        <f>IF(CM5&lt;0,ABS(CM5),0)</f>
        <v/>
      </c>
      <c r="CQ5" s="201">
        <f>IF(CM5&gt;0,CM5,0)</f>
        <v/>
      </c>
    </row>
    <row r="6" spans="1:95">
      <c r="A6" s="2170" t="s">
        <v>179</v>
      </c>
      <c r="B6" s="201">
        <f>SUM(G$3:$G5)-SUM(F$3:$F5)</f>
        <v/>
      </c>
      <c r="C6" s="200">
        <f>PL!E455</f>
        <v/>
      </c>
      <c r="D6" s="203" t="n"/>
      <c r="E6" s="201">
        <f>IF(C6&lt;0,B6+C6,B6)</f>
        <v/>
      </c>
      <c r="F6" s="2171">
        <f>IF(C6&lt;0,ABS(C6),0)</f>
        <v/>
      </c>
      <c r="G6" s="2171">
        <f>IF(C6&gt;0,C6,0)</f>
        <v/>
      </c>
      <c r="I6" s="2170" t="s">
        <v>179</v>
      </c>
      <c r="J6" s="201">
        <f>SUM(O$3:$O5)-SUM(N$3:$N5)</f>
        <v/>
      </c>
      <c r="K6" s="200">
        <f>PL!I455</f>
        <v/>
      </c>
      <c r="L6" s="203" t="n"/>
      <c r="M6" s="201">
        <f>IF(K6&lt;0,J6+K6,J6)</f>
        <v/>
      </c>
      <c r="N6" s="201">
        <f>IF(K6&lt;0,ABS(K6),0)</f>
        <v/>
      </c>
      <c r="O6" s="2171">
        <f>IF(K6&gt;0,K6,0)</f>
        <v/>
      </c>
      <c r="Q6" s="2170" t="s">
        <v>179</v>
      </c>
      <c r="R6" s="201">
        <f>SUM($W$3:W5)-SUM($V$3:V5)</f>
        <v/>
      </c>
      <c r="S6" s="200">
        <f>PL!M455</f>
        <v/>
      </c>
      <c r="T6" s="203" t="n"/>
      <c r="U6" s="201">
        <f>IF(S6&lt;0,R6+S6,R6)</f>
        <v/>
      </c>
      <c r="V6" s="201">
        <f>IF(S6&lt;0,ABS(S6),0)</f>
        <v/>
      </c>
      <c r="W6" s="201">
        <f>IF(S6&gt;0,S6,0)</f>
        <v/>
      </c>
      <c r="Y6" s="2170" t="s">
        <v>179</v>
      </c>
      <c r="Z6" s="201">
        <f>SUM($AE$3:AE5)-SUM($AD$3:AD5)</f>
        <v/>
      </c>
      <c r="AA6" s="200">
        <f>PL!Q455</f>
        <v/>
      </c>
      <c r="AB6" s="203" t="n"/>
      <c r="AC6" s="201">
        <f>IF(AA6&lt;0,Z6+AA6,Z6)</f>
        <v/>
      </c>
      <c r="AD6" s="201">
        <f>IF(AA6&lt;0,ABS(AA6),0)</f>
        <v/>
      </c>
      <c r="AE6" s="201">
        <f>IF(AA6&gt;0,AA6,0)</f>
        <v/>
      </c>
      <c r="AG6" s="2170" t="s">
        <v>179</v>
      </c>
      <c r="AH6" s="201">
        <f>SUM($AM$3:AM5)-SUM($AL$3:AL5)</f>
        <v/>
      </c>
      <c r="AI6" s="200">
        <f>PL!U455</f>
        <v/>
      </c>
      <c r="AJ6" s="203" t="n"/>
      <c r="AK6" s="201">
        <f>IF(AI6&lt;0,AH6+AI6,AH6)</f>
        <v/>
      </c>
      <c r="AL6" s="201">
        <f>IF(AI6&lt;0,ABS(AI6),0)</f>
        <v/>
      </c>
      <c r="AM6" s="201">
        <f>IF(AI6&gt;0,AI6,0)</f>
        <v/>
      </c>
      <c r="AO6" s="2170" t="s">
        <v>179</v>
      </c>
      <c r="AP6" s="201">
        <f>SUM($AU$3:AU5)-SUM($AT$3:AT5)</f>
        <v/>
      </c>
      <c r="AQ6" s="200">
        <f>PL!Y455</f>
        <v/>
      </c>
      <c r="AR6" s="203" t="n"/>
      <c r="AS6" s="201">
        <f>IF(AQ6&lt;0,AP6+AQ6,AP6)</f>
        <v/>
      </c>
      <c r="AT6" s="201">
        <f>IF(AQ6&lt;0,ABS(AQ6),0)</f>
        <v/>
      </c>
      <c r="AU6" s="201">
        <f>IF(AQ6&gt;0,AQ6,0)</f>
        <v/>
      </c>
      <c r="AW6" s="2170" t="s">
        <v>179</v>
      </c>
      <c r="AX6" s="201">
        <f>SUM($BC$3:BC5)-SUM($BB$3:BB5)</f>
        <v/>
      </c>
      <c r="AY6" s="200">
        <f>PL!AC455</f>
        <v/>
      </c>
      <c r="AZ6" s="203" t="n"/>
      <c r="BA6" s="201">
        <f>IF(AY6&lt;0,AX6+AY6,AX6)</f>
        <v/>
      </c>
      <c r="BB6" s="201">
        <f>IF(AY6&lt;0,ABS(AY6),0)</f>
        <v/>
      </c>
      <c r="BC6" s="201">
        <f>IF(AY6&gt;0,AY6,0)</f>
        <v/>
      </c>
      <c r="BE6" s="2170" t="s">
        <v>179</v>
      </c>
      <c r="BF6" s="201">
        <f>SUM($BK$3:BK5)-SUM($BJ$3:BJ5)</f>
        <v/>
      </c>
      <c r="BG6" s="200">
        <f>PL!AG455</f>
        <v/>
      </c>
      <c r="BH6" s="203" t="n"/>
      <c r="BI6" s="201">
        <f>IF(BG6&lt;0,BF6+BG6,BF6)</f>
        <v/>
      </c>
      <c r="BJ6" s="201">
        <f>IF(BG6&lt;0,ABS(BG6),0)</f>
        <v/>
      </c>
      <c r="BK6" s="201">
        <f>IF(BG6&gt;0,BG6,0)</f>
        <v/>
      </c>
      <c r="BM6" s="2170" t="s">
        <v>179</v>
      </c>
      <c r="BN6" s="201">
        <f>SUM($BS$3:BS5)-SUM($BR$3:BR5)</f>
        <v/>
      </c>
      <c r="BO6" s="200">
        <f>PL!AK455</f>
        <v/>
      </c>
      <c r="BP6" s="203" t="n"/>
      <c r="BQ6" s="201">
        <f>IF(BO6&lt;0,BN6+BO6,BN6)</f>
        <v/>
      </c>
      <c r="BR6" s="201">
        <f>IF(BO6&lt;0,ABS(BO6),0)</f>
        <v/>
      </c>
      <c r="BS6" s="201">
        <f>IF(BO6&gt;0,BO6,0)</f>
        <v/>
      </c>
      <c r="BU6" s="2170" t="s">
        <v>179</v>
      </c>
      <c r="BV6" s="201">
        <f>SUM($CA$3:CA5)-SUM($BZ$3:BZ5)</f>
        <v/>
      </c>
      <c r="BW6" s="200">
        <f>PL!AO455</f>
        <v/>
      </c>
      <c r="BX6" s="203" t="n"/>
      <c r="BY6" s="201">
        <f>IF(BW6&lt;0,BV6+BW6,BV6)</f>
        <v/>
      </c>
      <c r="BZ6" s="201">
        <f>IF(BW6&lt;0,ABS(BW6),0)</f>
        <v/>
      </c>
      <c r="CA6" s="201">
        <f>IF(BW6&gt;0,BW6,0)</f>
        <v/>
      </c>
      <c r="CC6" s="2170" t="s">
        <v>179</v>
      </c>
      <c r="CD6" s="201">
        <f>SUM($CI$3:CI5)-SUM($CH$3:CH5)</f>
        <v/>
      </c>
      <c r="CE6" s="200">
        <f>PL!AS455</f>
        <v/>
      </c>
      <c r="CF6" s="203" t="n"/>
      <c r="CG6" s="201">
        <f>IF(CE6&lt;0,CD6+CE6,CD6)</f>
        <v/>
      </c>
      <c r="CH6" s="201">
        <f>IF(CE6&lt;0,ABS(CE6),0)</f>
        <v/>
      </c>
      <c r="CI6" s="201">
        <f>IF(CE6&gt;0,CE6,0)</f>
        <v/>
      </c>
      <c r="CK6" s="2170" t="s">
        <v>179</v>
      </c>
      <c r="CL6" s="201">
        <f>SUM($CQ$3:CQ5)-SUM($CP$3:CP5)</f>
        <v/>
      </c>
      <c r="CM6" s="200">
        <f>PL!AW455</f>
        <v/>
      </c>
      <c r="CN6" s="203" t="n"/>
      <c r="CO6" s="201">
        <f>IF(CM6&lt;0,CL6+CM6,CL6)</f>
        <v/>
      </c>
      <c r="CP6" s="201">
        <f>IF(CM6&lt;0,ABS(CM6),0)</f>
        <v/>
      </c>
      <c r="CQ6" s="201">
        <f>IF(CM6&gt;0,CM6,0)</f>
        <v/>
      </c>
    </row>
    <row r="7" spans="1:95">
      <c r="A7" s="2170" t="s">
        <v>121</v>
      </c>
      <c r="B7" s="201">
        <f>SUM(G$3:$G6)-SUM(F$3:$F6)</f>
        <v/>
      </c>
      <c r="C7" s="200">
        <f>PL!E383</f>
        <v/>
      </c>
      <c r="D7" s="203" t="n"/>
      <c r="E7" s="201">
        <f>IF(C7&lt;0,B7+C7,B7)</f>
        <v/>
      </c>
      <c r="F7" s="2171">
        <f>IF(C7&lt;0,ABS(C7),0)</f>
        <v/>
      </c>
      <c r="G7" s="2171">
        <f>IF(C7&gt;0,C7,0)</f>
        <v/>
      </c>
      <c r="I7" s="2170" t="s">
        <v>121</v>
      </c>
      <c r="J7" s="201">
        <f>SUM(O$3:$O6)-SUM(N$3:$N6)</f>
        <v/>
      </c>
      <c r="K7" s="200">
        <f>PL!I383</f>
        <v/>
      </c>
      <c r="L7" s="203" t="n"/>
      <c r="M7" s="201">
        <f>IF(K7&lt;0,J7+K7,J7)</f>
        <v/>
      </c>
      <c r="N7" s="201">
        <f>IF(K7&lt;0,ABS(K7),0)</f>
        <v/>
      </c>
      <c r="O7" s="2171">
        <f>IF(K7&gt;0,K7,0)</f>
        <v/>
      </c>
      <c r="Q7" s="2170" t="s">
        <v>121</v>
      </c>
      <c r="R7" s="201">
        <f>SUM($W$3:W6)-SUM($V$3:V6)</f>
        <v/>
      </c>
      <c r="S7" s="200">
        <f>PL!M383</f>
        <v/>
      </c>
      <c r="T7" s="203" t="n"/>
      <c r="U7" s="201">
        <f>IF(S7&lt;0,R7+S7,R7)</f>
        <v/>
      </c>
      <c r="V7" s="201">
        <f>IF(S7&lt;0,ABS(S7),0)</f>
        <v/>
      </c>
      <c r="W7" s="201">
        <f>IF(S7&gt;0,S7,0)</f>
        <v/>
      </c>
      <c r="Y7" s="2170" t="s">
        <v>121</v>
      </c>
      <c r="Z7" s="201">
        <f>SUM($AE$3:AE6)-SUM($AD$3:AD6)</f>
        <v/>
      </c>
      <c r="AA7" s="200">
        <f>PL!Q383</f>
        <v/>
      </c>
      <c r="AB7" s="203" t="n"/>
      <c r="AC7" s="201">
        <f>IF(AA7&lt;0,Z7+AA7,Z7)</f>
        <v/>
      </c>
      <c r="AD7" s="201">
        <f>IF(AA7&lt;0,ABS(AA7),0)</f>
        <v/>
      </c>
      <c r="AE7" s="201">
        <f>IF(AA7&gt;0,AA7,0)</f>
        <v/>
      </c>
      <c r="AG7" s="2170" t="s">
        <v>121</v>
      </c>
      <c r="AH7" s="201">
        <f>SUM($AM$3:AM6)-SUM($AL$3:AL6)</f>
        <v/>
      </c>
      <c r="AI7" s="200">
        <f>PL!U383</f>
        <v/>
      </c>
      <c r="AJ7" s="203" t="n"/>
      <c r="AK7" s="201">
        <f>IF(AI7&lt;0,AH7+AI7,AH7)</f>
        <v/>
      </c>
      <c r="AL7" s="201">
        <f>IF(AI7&lt;0,ABS(AI7),0)</f>
        <v/>
      </c>
      <c r="AM7" s="201">
        <f>IF(AI7&gt;0,AI7,0)</f>
        <v/>
      </c>
      <c r="AO7" s="2170" t="s">
        <v>121</v>
      </c>
      <c r="AP7" s="201">
        <f>SUM($AU$3:AU6)-SUM($AT$3:AT6)</f>
        <v/>
      </c>
      <c r="AQ7" s="200">
        <f>PL!Y383</f>
        <v/>
      </c>
      <c r="AR7" s="203" t="n"/>
      <c r="AS7" s="201">
        <f>IF(AQ7&lt;0,AP7+AQ7,AP7)</f>
        <v/>
      </c>
      <c r="AT7" s="201">
        <f>IF(AQ7&lt;0,ABS(AQ7),0)</f>
        <v/>
      </c>
      <c r="AU7" s="201">
        <f>IF(AQ7&gt;0,AQ7,0)</f>
        <v/>
      </c>
      <c r="AW7" s="2170" t="s">
        <v>121</v>
      </c>
      <c r="AX7" s="201">
        <f>SUM($BC$3:BC6)-SUM(BB$3:$BB6)</f>
        <v/>
      </c>
      <c r="AY7" s="200">
        <f>PL!AC383</f>
        <v/>
      </c>
      <c r="AZ7" s="203" t="n"/>
      <c r="BA7" s="201">
        <f>IF(AY7&lt;0,AX7+AY7,AX7)</f>
        <v/>
      </c>
      <c r="BB7" s="201">
        <f>IF(AY7&lt;0,ABS(AY7),0)</f>
        <v/>
      </c>
      <c r="BC7" s="201">
        <f>IF(AY7&gt;0,AY7,0)</f>
        <v/>
      </c>
      <c r="BE7" s="2170" t="s">
        <v>121</v>
      </c>
      <c r="BF7" s="201">
        <f>SUM($BK$3:BK6)-SUM($BJ$3:BJ6)</f>
        <v/>
      </c>
      <c r="BG7" s="200">
        <f>PL!AG383</f>
        <v/>
      </c>
      <c r="BH7" s="203" t="n"/>
      <c r="BI7" s="201">
        <f>IF(BG7&lt;0,BF7+BG7,BF7)</f>
        <v/>
      </c>
      <c r="BJ7" s="201">
        <f>IF(BG7&lt;0,ABS(BG7),0)</f>
        <v/>
      </c>
      <c r="BK7" s="201">
        <f>IF(BG7&gt;0,BG7,0)</f>
        <v/>
      </c>
      <c r="BM7" s="2170" t="s">
        <v>121</v>
      </c>
      <c r="BN7" s="201">
        <f>SUM($BS$3:BS6)-SUM($BR$3:BR6)</f>
        <v/>
      </c>
      <c r="BO7" s="200">
        <f>PL!AK383</f>
        <v/>
      </c>
      <c r="BP7" s="203" t="n"/>
      <c r="BQ7" s="201">
        <f>IF(BO7&lt;0,BN7+BO7,BN7)</f>
        <v/>
      </c>
      <c r="BR7" s="201">
        <f>IF(BO7&lt;0,ABS(BO7),0)</f>
        <v/>
      </c>
      <c r="BS7" s="201">
        <f>IF(BO7&gt;0,BO7,0)</f>
        <v/>
      </c>
      <c r="BU7" s="2170" t="s">
        <v>121</v>
      </c>
      <c r="BV7" s="201">
        <f>SUM($CA$3:CA6)-SUM($BZ$3:BZ6)</f>
        <v/>
      </c>
      <c r="BW7" s="200">
        <f>PL!AO383</f>
        <v/>
      </c>
      <c r="BX7" s="203" t="n"/>
      <c r="BY7" s="201">
        <f>IF(BW7&lt;0,BV7+BW7,BV7)</f>
        <v/>
      </c>
      <c r="BZ7" s="201">
        <f>IF(BW7&lt;0,ABS(BW7),0)</f>
        <v/>
      </c>
      <c r="CA7" s="201">
        <f>IF(BW7&gt;0,BW7,0)</f>
        <v/>
      </c>
      <c r="CC7" s="2170" t="s">
        <v>121</v>
      </c>
      <c r="CD7" s="201">
        <f>SUM($CI$3:CI6)-SUM($CH$3:CH6)</f>
        <v/>
      </c>
      <c r="CE7" s="200">
        <f>PL!AS383</f>
        <v/>
      </c>
      <c r="CF7" s="203" t="n"/>
      <c r="CG7" s="201">
        <f>IF(CE7&lt;0,CD7+CE7,CD7)</f>
        <v/>
      </c>
      <c r="CH7" s="201">
        <f>IF(CE7&lt;0,ABS(CE7),0)</f>
        <v/>
      </c>
      <c r="CI7" s="201">
        <f>IF(CE7&gt;0,CE7,0)</f>
        <v/>
      </c>
      <c r="CK7" s="2170" t="s">
        <v>121</v>
      </c>
      <c r="CL7" s="201">
        <f>SUM($CQ$3:CQ6)-SUM($CP$3:CP6)</f>
        <v/>
      </c>
      <c r="CM7" s="200">
        <f>PL!AW383</f>
        <v/>
      </c>
      <c r="CN7" s="203" t="n"/>
      <c r="CO7" s="201">
        <f>IF(CM7&lt;0,CL7+CM7,CL7)</f>
        <v/>
      </c>
      <c r="CP7" s="201">
        <f>IF(CM7&lt;0,ABS(CM7),0)</f>
        <v/>
      </c>
      <c r="CQ7" s="201">
        <f>IF(CM7&gt;0,CM7,0)</f>
        <v/>
      </c>
    </row>
    <row r="8" spans="1:95">
      <c r="A8" s="2170" t="s">
        <v>180</v>
      </c>
      <c r="B8" s="201">
        <f>SUM(G$3:$G7)-SUM(F$3:$F7)</f>
        <v/>
      </c>
      <c r="C8" s="200">
        <f>PL!E334</f>
        <v/>
      </c>
      <c r="D8" s="203" t="n"/>
      <c r="E8" s="201">
        <f>IF(C8&lt;0,B8+C8,B8)</f>
        <v/>
      </c>
      <c r="F8" s="2171">
        <f>IF(C8&lt;0,ABS(C8),0)</f>
        <v/>
      </c>
      <c r="G8" s="2171">
        <f>IF(C8&gt;0,C8,0)</f>
        <v/>
      </c>
      <c r="I8" s="2170" t="s">
        <v>180</v>
      </c>
      <c r="J8" s="201">
        <f>SUM(O$3:$O7)-SUM(N$3:$N7)</f>
        <v/>
      </c>
      <c r="K8" s="200">
        <f>PL!I334</f>
        <v/>
      </c>
      <c r="L8" s="203" t="n"/>
      <c r="M8" s="201">
        <f>IF(K8&lt;0,J8+K8,J8)</f>
        <v/>
      </c>
      <c r="N8" s="201">
        <f>IF(K8&lt;0,ABS(K8),0)</f>
        <v/>
      </c>
      <c r="O8" s="2171">
        <f>IF(K8&gt;0,K8,0)</f>
        <v/>
      </c>
      <c r="Q8" s="2170" t="s">
        <v>180</v>
      </c>
      <c r="R8" s="201">
        <f>SUM($W$3:W7)-SUM($V$3:V7)</f>
        <v/>
      </c>
      <c r="S8" s="200">
        <f>PL!M334</f>
        <v/>
      </c>
      <c r="T8" s="203" t="n"/>
      <c r="U8" s="201">
        <f>IF(S8&lt;0,R8+S8,R8)</f>
        <v/>
      </c>
      <c r="V8" s="201">
        <f>IF(S8&lt;0,ABS(S8),0)</f>
        <v/>
      </c>
      <c r="W8" s="201">
        <f>IF(S8&gt;0,S8,0)</f>
        <v/>
      </c>
      <c r="Y8" s="2170" t="s">
        <v>180</v>
      </c>
      <c r="Z8" s="201">
        <f>SUM($AE$3:AE7)-SUM($AD$3:AD7)</f>
        <v/>
      </c>
      <c r="AA8" s="200">
        <f>PL!Q334</f>
        <v/>
      </c>
      <c r="AB8" s="203" t="n"/>
      <c r="AC8" s="201">
        <f>IF(AA8&lt;0,Z8+AA8,Z8)</f>
        <v/>
      </c>
      <c r="AD8" s="201">
        <f>IF(AA8&lt;0,ABS(AA8),0)</f>
        <v/>
      </c>
      <c r="AE8" s="201">
        <f>IF(AA8&gt;0,AA8,0)</f>
        <v/>
      </c>
      <c r="AG8" s="2170" t="s">
        <v>180</v>
      </c>
      <c r="AH8" s="201">
        <f>SUM($AM$3:AM7)-SUM($AL$3:AL7)</f>
        <v/>
      </c>
      <c r="AI8" s="200">
        <f>PL!U334</f>
        <v/>
      </c>
      <c r="AJ8" s="203" t="n"/>
      <c r="AK8" s="201">
        <f>IF(AI8&lt;0,AH8+AI8,AH8)</f>
        <v/>
      </c>
      <c r="AL8" s="201">
        <f>IF(AI8&lt;0,ABS(AI8),0)</f>
        <v/>
      </c>
      <c r="AM8" s="201">
        <f>IF(AI8&gt;0,AI8,0)</f>
        <v/>
      </c>
      <c r="AO8" s="2170" t="s">
        <v>180</v>
      </c>
      <c r="AP8" s="201">
        <f>SUM($AU$3:AU7)-SUM($AT$3:AT7)</f>
        <v/>
      </c>
      <c r="AQ8" s="200">
        <f>PL!Y334</f>
        <v/>
      </c>
      <c r="AR8" s="203" t="n"/>
      <c r="AS8" s="201">
        <f>IF(AQ8&lt;0,AP8+AQ8,AP8)</f>
        <v/>
      </c>
      <c r="AT8" s="201">
        <f>IF(AQ8&lt;0,ABS(AQ8),0)</f>
        <v/>
      </c>
      <c r="AU8" s="201">
        <f>IF(AQ8&gt;0,AQ8,0)</f>
        <v/>
      </c>
      <c r="AW8" s="2170" t="s">
        <v>180</v>
      </c>
      <c r="AX8" s="201">
        <f>SUM($BC$3:BC7)-SUM($BB$3:BB7)</f>
        <v/>
      </c>
      <c r="AY8" s="200">
        <f>PL!AC334</f>
        <v/>
      </c>
      <c r="AZ8" s="203" t="n"/>
      <c r="BA8" s="201">
        <f>IF(AY8&lt;0,AX8+AY8,AX8)</f>
        <v/>
      </c>
      <c r="BB8" s="201">
        <f>IF(AY8&lt;0,ABS(AY8),0)</f>
        <v/>
      </c>
      <c r="BC8" s="201">
        <f>IF(AY8&gt;0,AY8,0)</f>
        <v/>
      </c>
      <c r="BE8" s="2170" t="s">
        <v>180</v>
      </c>
      <c r="BF8" s="201">
        <f>SUM($BK$3:BK7)-SUM($BJ$3:BJ7)</f>
        <v/>
      </c>
      <c r="BG8" s="200">
        <f>PL!AG334</f>
        <v/>
      </c>
      <c r="BH8" s="203" t="n"/>
      <c r="BI8" s="201">
        <f>IF(BG8&lt;0,BF8+BG8,BF8)</f>
        <v/>
      </c>
      <c r="BJ8" s="201">
        <f>IF(BG8&lt;0,ABS(BG8),0)</f>
        <v/>
      </c>
      <c r="BK8" s="201">
        <f>IF(BG8&gt;0,BG8,0)</f>
        <v/>
      </c>
      <c r="BM8" s="2170" t="s">
        <v>180</v>
      </c>
      <c r="BN8" s="201">
        <f>SUM($BS$3:BS7)-SUM($BR$3:BR7)</f>
        <v/>
      </c>
      <c r="BO8" s="200">
        <f>PL!AK334</f>
        <v/>
      </c>
      <c r="BP8" s="203" t="n"/>
      <c r="BQ8" s="201">
        <f>IF(BO8&lt;0,BN8+BO8,BN8)</f>
        <v/>
      </c>
      <c r="BR8" s="201">
        <f>IF(BO8&lt;0,ABS(BO8),0)</f>
        <v/>
      </c>
      <c r="BS8" s="201">
        <f>IF(BO8&gt;0,BO8,0)</f>
        <v/>
      </c>
      <c r="BU8" s="2170" t="s">
        <v>180</v>
      </c>
      <c r="BV8" s="201">
        <f>SUM($CA$3:CA7)-SUM($BZ$3:BZ7)</f>
        <v/>
      </c>
      <c r="BW8" s="200">
        <f>PL!AO334</f>
        <v/>
      </c>
      <c r="BX8" s="203" t="n"/>
      <c r="BY8" s="201">
        <f>IF(BW8&lt;0,BV8+BW8,BV8)</f>
        <v/>
      </c>
      <c r="BZ8" s="201">
        <f>IF(BW8&lt;0,ABS(BW8),0)</f>
        <v/>
      </c>
      <c r="CA8" s="201">
        <f>IF(BW8&gt;0,BW8,0)</f>
        <v/>
      </c>
      <c r="CC8" s="2170" t="s">
        <v>180</v>
      </c>
      <c r="CD8" s="201">
        <f>SUM($CI$3:CI7)-SUM($CH$3:CH7)</f>
        <v/>
      </c>
      <c r="CE8" s="200">
        <f>PL!AS334</f>
        <v/>
      </c>
      <c r="CF8" s="203" t="n"/>
      <c r="CG8" s="201">
        <f>IF(CE8&lt;0,CD8+CE8,CD8)</f>
        <v/>
      </c>
      <c r="CH8" s="201">
        <f>IF(CE8&lt;0,ABS(CE8),0)</f>
        <v/>
      </c>
      <c r="CI8" s="201">
        <f>IF(CE8&gt;0,CE8,0)</f>
        <v/>
      </c>
      <c r="CK8" s="2170" t="s">
        <v>180</v>
      </c>
      <c r="CL8" s="201">
        <f>SUM($CQ$3:CQ7)-SUM($CP$3:CP7)</f>
        <v/>
      </c>
      <c r="CM8" s="200">
        <f>PL!AW334</f>
        <v/>
      </c>
      <c r="CN8" s="203" t="n"/>
      <c r="CO8" s="201">
        <f>IF(CM8&lt;0,CL8+CM8,CL8)</f>
        <v/>
      </c>
      <c r="CP8" s="201">
        <f>IF(CM8&lt;0,ABS(CM8),0)</f>
        <v/>
      </c>
      <c r="CQ8" s="201">
        <f>IF(CM8&gt;0,CM8,0)</f>
        <v/>
      </c>
    </row>
    <row r="9" spans="1:95">
      <c r="H9" s="209" t="n"/>
      <c r="N9" s="209" t="n"/>
      <c r="O9" s="209" t="n"/>
      <c r="P9" s="209" t="n"/>
      <c r="W9" s="203" t="n"/>
      <c r="Z9" s="2164" t="n"/>
      <c r="AA9" s="2164" t="n"/>
      <c r="AB9" s="2164" t="n"/>
      <c r="AC9" s="2164" t="n"/>
      <c r="AD9" s="2164" t="n"/>
      <c r="AE9" s="203" t="n"/>
    </row>
    <row r="10" spans="1:95">
      <c r="Z10" s="2164" t="n"/>
      <c r="AA10" s="2164" t="n"/>
      <c r="AB10" s="2164" t="n"/>
      <c r="AC10" s="2164" t="n"/>
      <c r="AD10" s="2164" t="n"/>
      <c r="AE10" s="2164" t="n"/>
    </row>
    <row r="11" spans="1:95">
      <c r="Z11" s="2164" t="n"/>
      <c r="AA11" s="2164" t="n"/>
      <c r="AB11" s="2164" t="n"/>
      <c r="AC11" s="2164" t="n"/>
      <c r="AD11" s="2164" t="n"/>
      <c r="AE11" s="2164" t="n"/>
    </row>
    <row r="12" spans="1:95">
      <c r="Z12" s="2164" t="n"/>
      <c r="AA12" s="2164" t="n"/>
      <c r="AB12" s="2164" t="n"/>
      <c r="AC12" s="2164" t="n"/>
      <c r="AD12" s="2164" t="n"/>
      <c r="AE12" s="2164" t="n"/>
    </row>
    <row r="13" spans="1:95">
      <c r="Z13" s="2164" t="n"/>
      <c r="AA13" s="2164" t="n"/>
      <c r="AB13" s="2164" t="n"/>
      <c r="AC13" s="2164" t="n"/>
      <c r="AD13" s="2164" t="n"/>
      <c r="AE13" s="2164" t="n"/>
    </row>
    <row r="14" spans="1:95">
      <c r="Z14" s="2164" t="n"/>
      <c r="AA14" s="2164" t="n"/>
      <c r="AB14" s="2164" t="n"/>
      <c r="AC14" s="2164" t="n"/>
      <c r="AD14" s="2164" t="n"/>
      <c r="AE14" s="2164" t="n"/>
    </row>
    <row r="15" spans="1:95">
      <c r="Z15" s="2164" t="n"/>
      <c r="AA15" s="2164" t="n"/>
      <c r="AB15" s="2164" t="n"/>
      <c r="AC15" s="2164" t="n"/>
      <c r="AD15" s="2164" t="n"/>
      <c r="AE15" s="2164" t="n"/>
    </row>
    <row r="16" spans="1:95">
      <c r="Z16" s="2164" t="n"/>
      <c r="AA16" s="2164" t="n"/>
      <c r="AB16" s="2164" t="n"/>
      <c r="AC16" s="2164" t="n"/>
      <c r="AD16" s="2164" t="n"/>
      <c r="AE16" s="2164" t="n"/>
    </row>
    <row r="17" spans="1:95">
      <c r="Z17" s="2164" t="n"/>
      <c r="AA17" s="2164" t="n"/>
      <c r="AB17" s="2164" t="n"/>
      <c r="AC17" s="2164" t="n"/>
      <c r="AD17" s="2164" t="n"/>
      <c r="AE17" s="2164" t="n"/>
    </row>
    <row r="18" spans="1:95">
      <c r="Z18" s="2164" t="n"/>
      <c r="AA18" s="2164" t="n"/>
      <c r="AB18" s="2164" t="n"/>
      <c r="AC18" s="2164" t="n"/>
      <c r="AD18" s="2164" t="n"/>
      <c r="AE18" s="2164" t="n"/>
    </row>
    <row r="19" spans="1:95">
      <c r="Z19" s="2164" t="n"/>
      <c r="AA19" s="2164" t="n"/>
      <c r="AB19" s="2164" t="n"/>
      <c r="AC19" s="2164" t="n"/>
      <c r="AD19" s="2164" t="n"/>
      <c r="AE19" s="2164" t="n"/>
    </row>
    <row r="20" spans="1:95">
      <c r="Z20" s="2164" t="n"/>
      <c r="AA20" s="2164" t="n"/>
      <c r="AB20" s="2164" t="n"/>
      <c r="AC20" s="2164" t="n"/>
      <c r="AD20" s="2164" t="n"/>
      <c r="AE20" s="2164" t="n"/>
    </row>
    <row r="21" spans="1:95">
      <c r="Z21" s="2164" t="n"/>
      <c r="AA21" s="2164" t="n"/>
      <c r="AB21" s="2164" t="n"/>
      <c r="AC21" s="2164" t="n"/>
      <c r="AD21" s="2164" t="n"/>
      <c r="AE21" s="2164" t="n"/>
    </row>
    <row r="22" spans="1:95">
      <c r="Z22" s="2164" t="n"/>
      <c r="AA22" s="2164" t="n"/>
      <c r="AB22" s="2164" t="n"/>
      <c r="AC22" s="2164" t="n"/>
      <c r="AD22" s="2164" t="n"/>
      <c r="AE22" s="2164" t="n"/>
    </row>
    <row r="23" spans="1:95">
      <c r="Z23" s="2164" t="n"/>
      <c r="AA23" s="2164" t="n"/>
      <c r="AB23" s="2164" t="n"/>
      <c r="AC23" s="2164" t="n"/>
      <c r="AD23" s="2164" t="n"/>
      <c r="AE23" s="2164" t="n"/>
    </row>
    <row r="24" spans="1:95">
      <c r="Z24" s="2164" t="n"/>
      <c r="AA24" s="2164" t="n"/>
      <c r="AB24" s="2164" t="n"/>
      <c r="AC24" s="2164" t="n"/>
      <c r="AD24" s="2164" t="n"/>
      <c r="AE24" s="2164" t="n"/>
    </row>
    <row r="25" spans="1:95">
      <c r="Z25" s="2164" t="n"/>
      <c r="AA25" s="2164" t="n"/>
      <c r="AB25" s="2164" t="n"/>
      <c r="AC25" s="2164" t="n"/>
      <c r="AD25" s="2164" t="n"/>
      <c r="AE25" s="2164" t="n"/>
    </row>
    <row r="26" spans="1:95">
      <c r="Z26" s="2164" t="n"/>
      <c r="AA26" s="2164" t="n"/>
      <c r="AB26" s="2164" t="n"/>
      <c r="AC26" s="2164" t="n"/>
      <c r="AD26" s="2164" t="n"/>
      <c r="AE26" s="2164" t="n"/>
    </row>
  </sheetData>
  <mergeCells count="12">
    <mergeCell ref="CK1:CQ1"/>
    <mergeCell ref="CC1:CI1"/>
    <mergeCell ref="BU1:CA1"/>
    <mergeCell ref="A1:G1"/>
    <mergeCell ref="I1:O1"/>
    <mergeCell ref="Y1:AE1"/>
    <mergeCell ref="AG1:AM1"/>
    <mergeCell ref="BM1:BS1"/>
    <mergeCell ref="BE1:BK1"/>
    <mergeCell ref="AW1:BC1"/>
    <mergeCell ref="AO1:AU1"/>
    <mergeCell ref="Q1:W1"/>
  </mergeCells>
  <pageMargins bottom="1" footer="0.5" header="0.5" left="0.75" right="0.75" top="1"/>
  <pageSetup orientation="portrait" paperSize="9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indexed="34"/>
    <outlinePr summaryBelow="1" summaryRight="1"/>
    <pageSetUpPr/>
  </sheetPr>
  <dimension ref="A1:Q113"/>
  <sheetViews>
    <sheetView workbookViewId="0" zoomScale="85" zoomScaleNormal="85">
      <pane activePane="topRight" state="frozen" topLeftCell="B1" xSplit="1"/>
      <selection activeCell="A2" sqref="A2:A20"/>
      <selection activeCell="A1" pane="topRight" sqref="A1"/>
    </sheetView>
  </sheetViews>
  <sheetFormatPr baseColWidth="8" defaultColWidth="9" defaultRowHeight="17.25" outlineLevelCol="0"/>
  <cols>
    <col bestFit="1" customWidth="1" max="1" min="1" style="2125" width="14.875"/>
    <col customWidth="1" max="2" min="2" style="2125" width="0.875"/>
    <col customWidth="1" max="3" min="3" style="2125" width="9.375"/>
    <col customWidth="1" max="4" min="4" style="2125" width="7.625"/>
    <col bestFit="1" customWidth="1" max="5" min="5" style="2125" width="9.375"/>
    <col customWidth="1" max="6" min="6" style="2125" width="0.875"/>
    <col bestFit="1" customWidth="1" max="7" min="7" style="2125" width="9"/>
    <col bestFit="1" customWidth="1" max="8" min="8" style="2125" width="9.375"/>
    <col customWidth="1" max="9" min="9" style="2125" width="9.125"/>
    <col customWidth="1" max="10" min="10" style="2125" width="0.75"/>
    <col customWidth="1" max="11" min="11" style="2125" width="8.125"/>
    <col customWidth="1" max="12" min="12" style="2125" width="11.125"/>
    <col customWidth="1" max="13" min="13" style="2125" width="9.5"/>
    <col customWidth="1" max="14" min="14" style="2125" width="0.75"/>
    <col customWidth="1" max="15" min="15" style="2173" width="10.875"/>
    <col bestFit="1" customWidth="1" max="16" min="16" style="2173" width="15.375"/>
    <col customWidth="1" max="16384" min="17" style="2173" width="9"/>
  </cols>
  <sheetData>
    <row customFormat="1" customHeight="1" ht="9.75" r="1" s="2174" spans="1:17" thickBot="1">
      <c r="A1" s="2175" t="n"/>
      <c r="B1" s="534" t="n"/>
      <c r="C1" s="2127" t="n"/>
      <c r="D1" s="2127" t="n"/>
      <c r="E1" s="2175" t="n"/>
      <c r="F1" s="534" t="n"/>
      <c r="G1" s="536" t="n"/>
      <c r="H1" s="536" t="n"/>
      <c r="I1" s="536" t="n"/>
      <c r="J1" s="534" t="n"/>
      <c r="K1" s="534" t="n"/>
      <c r="L1" s="534" t="n"/>
      <c r="M1" s="534" t="n"/>
      <c r="N1" s="534" t="n"/>
    </row>
    <row customFormat="1" r="2" s="2173" spans="1:17">
      <c r="A2" s="2176" t="s">
        <v>181</v>
      </c>
      <c r="B2" s="2177" t="n"/>
      <c r="C2" s="2178" t="s">
        <v>89</v>
      </c>
      <c r="D2" s="2179" t="n"/>
      <c r="E2" s="2180" t="n"/>
      <c r="F2" s="2181" t="n"/>
      <c r="G2" s="2178" t="s">
        <v>152</v>
      </c>
      <c r="H2" s="2179" t="n"/>
      <c r="I2" s="2180" t="n"/>
      <c r="J2" s="2181" t="n"/>
      <c r="K2" s="2178" t="s">
        <v>153</v>
      </c>
      <c r="L2" s="2179" t="n"/>
      <c r="M2" s="2180" t="n"/>
      <c r="N2" s="2177" t="n"/>
    </row>
    <row customFormat="1" customHeight="1" ht="30.75" r="3" s="2173" spans="1:17">
      <c r="B3" s="2182" t="n"/>
      <c r="C3" s="2183" t="s">
        <v>62</v>
      </c>
      <c r="D3" s="2184" t="s">
        <v>63</v>
      </c>
      <c r="E3" s="2185" t="s">
        <v>64</v>
      </c>
      <c r="F3" s="2182" t="n"/>
      <c r="G3" s="2183">
        <f>C3</f>
        <v/>
      </c>
      <c r="H3" s="2184">
        <f>D3</f>
        <v/>
      </c>
      <c r="I3" s="2185">
        <f>E3</f>
        <v/>
      </c>
      <c r="J3" s="2182" t="n"/>
      <c r="K3" s="2183">
        <f>C3</f>
        <v/>
      </c>
      <c r="L3" s="2184">
        <f>D3</f>
        <v/>
      </c>
      <c r="M3" s="2185">
        <f>E3</f>
        <v/>
      </c>
      <c r="N3" s="2182" t="n"/>
    </row>
    <row customFormat="1" r="4" s="2173" spans="1:17">
      <c r="A4" s="2186" t="s">
        <v>156</v>
      </c>
      <c r="B4" s="2187" t="n"/>
      <c r="C4" s="2188" t="n"/>
      <c r="D4" s="2189" t="n"/>
      <c r="E4" s="2190" t="n"/>
      <c r="F4" s="2187" t="n"/>
      <c r="G4" s="2191">
        <f>G24+G45+G64</f>
        <v/>
      </c>
      <c r="H4" s="2192">
        <f>H24+H45+H64</f>
        <v/>
      </c>
      <c r="I4" s="2193">
        <f>I24+I45+I64</f>
        <v/>
      </c>
      <c r="J4" s="2187" t="n"/>
      <c r="K4" s="2188" t="n"/>
      <c r="L4" s="2189" t="n"/>
      <c r="M4" s="2190" t="n"/>
      <c r="N4" s="2187" t="n"/>
      <c r="O4" s="554">
        <f>(I4-H4)/H4</f>
        <v/>
      </c>
    </row>
    <row customFormat="1" r="5" s="2173" spans="1:17">
      <c r="A5" s="2186" t="s">
        <v>157</v>
      </c>
      <c r="B5" s="2187" t="n"/>
      <c r="C5" s="2188" t="n"/>
      <c r="D5" s="2189" t="n"/>
      <c r="E5" s="2190" t="n"/>
      <c r="F5" s="2187" t="n"/>
      <c r="G5" s="2191">
        <f>G25+G46+G65</f>
        <v/>
      </c>
      <c r="H5" s="2192">
        <f>H25+H46+H65</f>
        <v/>
      </c>
      <c r="I5" s="2193">
        <f>I25+I46+I65</f>
        <v/>
      </c>
      <c r="J5" s="2187" t="n"/>
      <c r="K5" s="2188" t="n"/>
      <c r="L5" s="2189" t="n"/>
      <c r="M5" s="2190" t="n"/>
      <c r="N5" s="2187" t="n"/>
      <c r="O5" s="554">
        <f>(I5-H5)/H5</f>
        <v/>
      </c>
    </row>
    <row customFormat="1" r="6" s="2173" spans="1:17">
      <c r="A6" s="2186" t="s">
        <v>158</v>
      </c>
      <c r="B6" s="2187" t="n"/>
      <c r="C6" s="2188" t="n"/>
      <c r="D6" s="2189" t="n"/>
      <c r="E6" s="2190" t="n"/>
      <c r="F6" s="2187" t="n"/>
      <c r="G6" s="2191">
        <f>G26+G47+G66</f>
        <v/>
      </c>
      <c r="H6" s="2192">
        <f>H26+H47+H66</f>
        <v/>
      </c>
      <c r="I6" s="2193">
        <f>I26+I47+I66</f>
        <v/>
      </c>
      <c r="J6" s="2187" t="n"/>
      <c r="K6" s="2188" t="n"/>
      <c r="L6" s="2189" t="n"/>
      <c r="M6" s="2190" t="n"/>
      <c r="N6" s="2187" t="n"/>
      <c r="O6" s="554">
        <f>(I6-H6)/H6</f>
        <v/>
      </c>
    </row>
    <row customFormat="1" r="7" s="2173" spans="1:17">
      <c r="A7" s="2186" t="s">
        <v>159</v>
      </c>
      <c r="B7" s="2187" t="n"/>
      <c r="C7" s="2188" t="n"/>
      <c r="D7" s="2189" t="n"/>
      <c r="E7" s="2190" t="n"/>
      <c r="F7" s="2187" t="n"/>
      <c r="G7" s="2191">
        <f>G27+G48+G67</f>
        <v/>
      </c>
      <c r="H7" s="2192">
        <f>H27+H48+H67</f>
        <v/>
      </c>
      <c r="I7" s="2193">
        <f>I27+I48+I67</f>
        <v/>
      </c>
      <c r="J7" s="2187" t="n"/>
      <c r="K7" s="2188" t="n"/>
      <c r="L7" s="2189" t="n"/>
      <c r="M7" s="2190" t="n"/>
      <c r="N7" s="2187" t="n"/>
      <c r="O7" s="554">
        <f>(I7-H7)/H7</f>
        <v/>
      </c>
    </row>
    <row customFormat="1" r="8" s="2173" spans="1:17">
      <c r="A8" s="2186" t="s">
        <v>160</v>
      </c>
      <c r="B8" s="2187" t="n"/>
      <c r="C8" s="2188" t="n"/>
      <c r="D8" s="2189" t="n"/>
      <c r="E8" s="2190" t="n"/>
      <c r="F8" s="2187" t="n"/>
      <c r="G8" s="2191">
        <f>G28+G49+G68</f>
        <v/>
      </c>
      <c r="H8" s="2192">
        <f>H28+H49+H68</f>
        <v/>
      </c>
      <c r="I8" s="2193">
        <f>I28+I49+I68</f>
        <v/>
      </c>
      <c r="J8" s="2187" t="n"/>
      <c r="K8" s="2188" t="n"/>
      <c r="L8" s="2189" t="n"/>
      <c r="M8" s="2190" t="n"/>
      <c r="N8" s="2187" t="n"/>
      <c r="O8" s="554">
        <f>(I8-H8)/H8</f>
        <v/>
      </c>
    </row>
    <row customFormat="1" r="9" s="2173" spans="1:17">
      <c r="A9" s="2186" t="s">
        <v>161</v>
      </c>
      <c r="B9" s="2187" t="n"/>
      <c r="C9" s="2188" t="n"/>
      <c r="D9" s="2189" t="n"/>
      <c r="E9" s="2190" t="n"/>
      <c r="F9" s="2187" t="n"/>
      <c r="G9" s="2191">
        <f>G29+G50+G69</f>
        <v/>
      </c>
      <c r="H9" s="2192">
        <f>H29+H50+H69</f>
        <v/>
      </c>
      <c r="I9" s="2193">
        <f>I29+I50+I69</f>
        <v/>
      </c>
      <c r="J9" s="2187" t="n"/>
      <c r="K9" s="2188" t="n"/>
      <c r="L9" s="2189" t="n"/>
      <c r="M9" s="2190" t="n"/>
      <c r="N9" s="2187" t="n"/>
      <c r="O9" s="554">
        <f>(I9-H9)/H9</f>
        <v/>
      </c>
    </row>
    <row customFormat="1" r="10" s="2173" spans="1:17">
      <c r="A10" s="2186" t="s">
        <v>162</v>
      </c>
      <c r="B10" s="2187" t="n"/>
      <c r="C10" s="2188" t="n"/>
      <c r="D10" s="2189" t="n"/>
      <c r="E10" s="2190" t="n"/>
      <c r="F10" s="2187" t="n"/>
      <c r="G10" s="2191">
        <f>G30+G51+G70</f>
        <v/>
      </c>
      <c r="H10" s="2192">
        <f>H30+H51+H70</f>
        <v/>
      </c>
      <c r="I10" s="2193">
        <f>I30+I51+I70</f>
        <v/>
      </c>
      <c r="J10" s="2187" t="n"/>
      <c r="K10" s="2188" t="n"/>
      <c r="L10" s="2189" t="n"/>
      <c r="M10" s="2190" t="n"/>
      <c r="N10" s="2187" t="n"/>
      <c r="O10" s="554">
        <f>(I10-H10)/H10</f>
        <v/>
      </c>
    </row>
    <row customFormat="1" r="11" s="2173" spans="1:17">
      <c r="A11" s="2186" t="s">
        <v>163</v>
      </c>
      <c r="B11" s="2187" t="n"/>
      <c r="C11" s="2188" t="n"/>
      <c r="D11" s="2189" t="n"/>
      <c r="E11" s="2190" t="n"/>
      <c r="F11" s="2187" t="n"/>
      <c r="G11" s="2191">
        <f>G31+G52+G71</f>
        <v/>
      </c>
      <c r="H11" s="2192">
        <f>H31+H52+H71</f>
        <v/>
      </c>
      <c r="I11" s="2193">
        <f>I31+I52+I71</f>
        <v/>
      </c>
      <c r="J11" s="2187" t="n"/>
      <c r="K11" s="2188" t="n"/>
      <c r="L11" s="2189" t="n"/>
      <c r="M11" s="2190" t="n"/>
      <c r="N11" s="2187" t="n"/>
      <c r="O11" s="554">
        <f>(I11-H11)/H11</f>
        <v/>
      </c>
    </row>
    <row customFormat="1" r="12" s="2173" spans="1:17">
      <c r="A12" s="2186" t="s">
        <v>164</v>
      </c>
      <c r="B12" s="2187" t="n"/>
      <c r="C12" s="2188" t="n"/>
      <c r="D12" s="2189" t="n"/>
      <c r="E12" s="2190" t="n"/>
      <c r="F12" s="2187" t="n"/>
      <c r="G12" s="2191">
        <f>G32+G53+G72</f>
        <v/>
      </c>
      <c r="H12" s="2192">
        <f>H32+H53+H72</f>
        <v/>
      </c>
      <c r="I12" s="2193">
        <f>I32+I53+I72</f>
        <v/>
      </c>
      <c r="J12" s="2187" t="n"/>
      <c r="K12" s="2188" t="n"/>
      <c r="L12" s="2189" t="n"/>
      <c r="M12" s="2190" t="n"/>
      <c r="N12" s="2187" t="n"/>
      <c r="O12" s="554">
        <f>(I12-H12)/H12</f>
        <v/>
      </c>
    </row>
    <row customFormat="1" r="13" s="2173" spans="1:17">
      <c r="A13" s="2194" t="s">
        <v>165</v>
      </c>
      <c r="B13" s="2195" t="n"/>
      <c r="C13" s="2196" t="n"/>
      <c r="D13" s="2197" t="n"/>
      <c r="E13" s="2198" t="n"/>
      <c r="F13" s="2195" t="n"/>
      <c r="G13" s="2199">
        <f>G33+G54+G73</f>
        <v/>
      </c>
      <c r="H13" s="2200">
        <f>H33+H54+H73</f>
        <v/>
      </c>
      <c r="I13" s="2201">
        <f>I33+I54+I73</f>
        <v/>
      </c>
      <c r="J13" s="2195" t="n"/>
      <c r="K13" s="2197" t="n"/>
      <c r="L13" s="2197" t="n"/>
      <c r="M13" s="2197" t="n"/>
      <c r="N13" s="2187" t="n"/>
      <c r="O13" s="554" t="n"/>
    </row>
    <row customFormat="1" r="14" s="2173" spans="1:17">
      <c r="A14" s="2186" t="s">
        <v>89</v>
      </c>
      <c r="B14" s="2187" t="n"/>
      <c r="C14" s="2202">
        <f>C34+C55+C74</f>
        <v/>
      </c>
      <c r="D14" s="2192">
        <f>D34+D55+D74</f>
        <v/>
      </c>
      <c r="E14" s="2203">
        <f>E34+E55+E74</f>
        <v/>
      </c>
      <c r="F14" s="2187" t="n"/>
      <c r="G14" s="2188" t="n"/>
      <c r="H14" s="2189" t="n"/>
      <c r="I14" s="2190" t="n"/>
      <c r="J14" s="2187" t="n"/>
      <c r="K14" s="2188" t="n"/>
      <c r="L14" s="2189" t="n"/>
      <c r="M14" s="2190" t="n"/>
      <c r="N14" s="2187" t="n"/>
    </row>
    <row customFormat="1" r="15" s="2173" spans="1:17">
      <c r="A15" s="2186" t="s">
        <v>153</v>
      </c>
      <c r="B15" s="2187" t="n"/>
      <c r="C15" s="2188" t="n"/>
      <c r="D15" s="2189" t="n"/>
      <c r="E15" s="2190" t="n"/>
      <c r="F15" s="2187" t="n"/>
      <c r="G15" s="2188" t="n"/>
      <c r="H15" s="2189" t="n"/>
      <c r="I15" s="2190" t="n"/>
      <c r="J15" s="2187" t="n"/>
      <c r="K15" s="2188">
        <f>SUM(C4:C15)-SUM(G4:G15)</f>
        <v/>
      </c>
      <c r="L15" s="2189">
        <f>SUM(D4:D15)-SUM(H4:H15)</f>
        <v/>
      </c>
      <c r="M15" s="2190">
        <f>SUM(E4:E15)-SUM(I4:I15)</f>
        <v/>
      </c>
      <c r="N15" s="2187" t="n"/>
    </row>
    <row customFormat="1" r="16" s="2173" spans="1:17">
      <c r="A16" s="2204" t="s">
        <v>182</v>
      </c>
      <c r="B16" s="2187" t="n"/>
      <c r="C16" s="2205" t="n"/>
      <c r="D16" s="2206" t="n"/>
      <c r="E16" s="2207" t="n"/>
      <c r="F16" s="2187" t="n"/>
      <c r="G16" s="2205" t="n"/>
      <c r="H16" s="2206" t="n"/>
      <c r="I16" s="2207" t="n"/>
      <c r="J16" s="2187" t="n"/>
      <c r="K16" s="623">
        <f>K17/C17</f>
        <v/>
      </c>
      <c r="L16" s="624">
        <f>L17/D17</f>
        <v/>
      </c>
      <c r="M16" s="625">
        <f>M17/E17</f>
        <v/>
      </c>
      <c r="N16" s="2187" t="n"/>
    </row>
    <row customFormat="1" customHeight="1" ht="18" r="17" s="2173" spans="1:17" thickBot="1">
      <c r="A17" s="2208" t="s">
        <v>173</v>
      </c>
      <c r="B17" s="2209" t="n"/>
      <c r="C17" s="2210">
        <f>SUM(C4:C15)</f>
        <v/>
      </c>
      <c r="D17" s="2211">
        <f>SUM(D4:D15)</f>
        <v/>
      </c>
      <c r="E17" s="2212">
        <f>SUM(E4:E15)</f>
        <v/>
      </c>
      <c r="F17" s="2209" t="n"/>
      <c r="G17" s="2210">
        <f>SUM(G4:G15)</f>
        <v/>
      </c>
      <c r="H17" s="2211">
        <f>SUM(H4:H15)</f>
        <v/>
      </c>
      <c r="I17" s="2212">
        <f>SUM(I4:I15)</f>
        <v/>
      </c>
      <c r="J17" s="2209" t="n"/>
      <c r="K17" s="2210">
        <f>C17-G17</f>
        <v/>
      </c>
      <c r="L17" s="2211">
        <f>D17-H17</f>
        <v/>
      </c>
      <c r="M17" s="2212">
        <f>E17-I17</f>
        <v/>
      </c>
      <c r="N17" s="2209" t="n"/>
      <c r="O17" s="613" t="n"/>
    </row>
    <row customFormat="1" customHeight="1" ht="18" r="18" s="2213" spans="1:17">
      <c r="A18" s="2214" t="n"/>
      <c r="B18" s="563" t="n"/>
      <c r="C18" s="2215">
        <f>C37+C58+C77</f>
        <v/>
      </c>
      <c r="D18" s="2215">
        <f>D37+D58+D77</f>
        <v/>
      </c>
      <c r="E18" s="2215">
        <f>E37+E58+E77</f>
        <v/>
      </c>
      <c r="F18" s="563" t="n"/>
      <c r="G18" s="2215">
        <f>G37+G58+G77</f>
        <v/>
      </c>
      <c r="H18" s="2215">
        <f>H37+H58+H77</f>
        <v/>
      </c>
      <c r="I18" s="2215">
        <f>I37+I58+I77</f>
        <v/>
      </c>
      <c r="J18" s="563" t="n"/>
      <c r="K18" s="2215">
        <f>K37+K58+K77</f>
        <v/>
      </c>
      <c r="L18" s="2215">
        <f>L37+L58+L77</f>
        <v/>
      </c>
      <c r="M18" s="2215">
        <f>M37+M58+M77</f>
        <v/>
      </c>
      <c r="N18" s="563" t="n"/>
    </row>
    <row customFormat="1" customHeight="1" ht="18" r="19" s="2213" spans="1:17">
      <c r="A19" s="2214" t="n"/>
      <c r="B19" s="563" t="n"/>
      <c r="C19" s="2215" t="n"/>
      <c r="D19" s="2215" t="n"/>
      <c r="E19" s="2215" t="n"/>
      <c r="F19" s="563" t="n"/>
      <c r="G19" s="2215" t="n"/>
      <c r="H19" s="2215" t="n"/>
      <c r="I19" s="2215" t="n"/>
      <c r="J19" s="563" t="n"/>
      <c r="K19" s="2215" t="n"/>
      <c r="L19" s="2215" t="n"/>
      <c r="M19" s="2215" t="n"/>
      <c r="N19" s="563" t="n"/>
    </row>
    <row customFormat="1" customHeight="1" ht="18" r="20" s="2213" spans="1:17">
      <c r="A20" s="2214" t="n"/>
      <c r="B20" s="563" t="n"/>
      <c r="C20" s="2215" t="n"/>
      <c r="D20" s="2215" t="n"/>
      <c r="E20" s="2215" t="n"/>
      <c r="F20" s="563" t="n"/>
      <c r="G20" s="2215" t="n"/>
      <c r="H20" s="2215" t="n"/>
      <c r="I20" s="2215" t="n"/>
      <c r="J20" s="563" t="n"/>
      <c r="K20" s="2215" t="n"/>
      <c r="L20" s="2215" t="n"/>
      <c r="M20" s="2215" t="n"/>
      <c r="N20" s="563" t="n"/>
    </row>
    <row customFormat="1" customHeight="1" ht="18.75" r="21" s="2213" spans="1:17" thickBot="1">
      <c r="A21" s="2214" t="n"/>
      <c r="B21" s="563" t="n"/>
      <c r="C21" s="2215" t="n"/>
      <c r="D21" s="2215" t="n"/>
      <c r="E21" s="2215" t="n"/>
      <c r="F21" s="563" t="n"/>
      <c r="G21" s="2215" t="n"/>
      <c r="H21" s="2215" t="n"/>
      <c r="I21" s="2215" t="n"/>
      <c r="J21" s="563" t="n"/>
      <c r="K21" s="2215" t="n"/>
      <c r="L21" s="2215" t="n"/>
      <c r="M21" s="2215" t="n"/>
      <c r="N21" s="563" t="n"/>
    </row>
    <row customFormat="1" r="22" s="2216" spans="1:17" thickTop="1">
      <c r="A22" s="2217" t="s">
        <v>183</v>
      </c>
      <c r="B22" s="2177" t="n"/>
      <c r="C22" s="2218">
        <f>$C$2</f>
        <v/>
      </c>
      <c r="D22" s="2219" t="n"/>
      <c r="E22" s="2220" t="n"/>
      <c r="F22" s="2221" t="n"/>
      <c r="G22" s="2218">
        <f>$G$2</f>
        <v/>
      </c>
      <c r="H22" s="2219" t="n"/>
      <c r="I22" s="2220" t="n"/>
      <c r="J22" s="2221" t="n"/>
      <c r="K22" s="2222">
        <f>$K$2</f>
        <v/>
      </c>
      <c r="L22" s="2223" t="n"/>
      <c r="M22" s="2224" t="n"/>
      <c r="N22" s="2177" t="n"/>
      <c r="O22" s="2225" t="n"/>
    </row>
    <row customFormat="1" customHeight="1" ht="30.75" r="23" s="2226" spans="1:17">
      <c r="B23" s="2182" t="n"/>
      <c r="C23" s="2183" t="s">
        <v>62</v>
      </c>
      <c r="D23" s="2184" t="s">
        <v>63</v>
      </c>
      <c r="E23" s="2185" t="s">
        <v>64</v>
      </c>
      <c r="F23" s="2182" t="n"/>
      <c r="G23" s="2183">
        <f>C23</f>
        <v/>
      </c>
      <c r="H23" s="2184">
        <f>D23</f>
        <v/>
      </c>
      <c r="I23" s="2185">
        <f>E23</f>
        <v/>
      </c>
      <c r="J23" s="2182" t="n"/>
      <c r="K23" s="2183">
        <f>C23</f>
        <v/>
      </c>
      <c r="L23" s="2184">
        <f>D23</f>
        <v/>
      </c>
      <c r="M23" s="2185">
        <f>E23</f>
        <v/>
      </c>
      <c r="N23" s="2182" t="n"/>
    </row>
    <row customFormat="1" r="24" s="2173" spans="1:17">
      <c r="A24" s="2186" t="s">
        <v>156</v>
      </c>
      <c r="B24" s="2187" t="n"/>
      <c r="C24" s="2188" t="n"/>
      <c r="D24" s="2189" t="n"/>
      <c r="E24" s="2190" t="n"/>
      <c r="F24" s="2187" t="n"/>
      <c r="G24" s="2188">
        <f>PL!D27</f>
        <v/>
      </c>
      <c r="H24" s="2188">
        <f>PL!H27</f>
        <v/>
      </c>
      <c r="I24" s="2188">
        <f>PL!L27</f>
        <v/>
      </c>
      <c r="J24" s="2187" t="n"/>
      <c r="K24" s="2189" t="n"/>
      <c r="L24" s="2189" t="n"/>
      <c r="M24" s="2189" t="n"/>
      <c r="N24" s="2187" t="n"/>
      <c r="O24" s="576">
        <f>(I24-H24)/H24</f>
        <v/>
      </c>
      <c r="P24" s="2227" t="n"/>
      <c r="Q24" s="2228" t="n"/>
    </row>
    <row customFormat="1" r="25" s="2173" spans="1:17">
      <c r="A25" s="2186" t="s">
        <v>157</v>
      </c>
      <c r="B25" s="2187" t="n"/>
      <c r="C25" s="2188" t="n"/>
      <c r="D25" s="2189" t="n"/>
      <c r="E25" s="2190" t="n"/>
      <c r="F25" s="2187" t="n"/>
      <c r="G25" s="2188">
        <f>PL!D34</f>
        <v/>
      </c>
      <c r="H25" s="2188">
        <f>PL!H34</f>
        <v/>
      </c>
      <c r="I25" s="2188">
        <f>PL!L34</f>
        <v/>
      </c>
      <c r="J25" s="2187" t="n"/>
      <c r="K25" s="2189" t="n"/>
      <c r="L25" s="2189" t="n"/>
      <c r="M25" s="2189" t="n"/>
      <c r="N25" s="2187" t="n"/>
      <c r="O25" s="576">
        <f>(I25-H25)/H25</f>
        <v/>
      </c>
      <c r="P25" s="2227" t="n"/>
      <c r="Q25" s="2228" t="n"/>
    </row>
    <row customFormat="1" r="26" s="2173" spans="1:17">
      <c r="A26" s="2186" t="s">
        <v>158</v>
      </c>
      <c r="B26" s="2187" t="n"/>
      <c r="C26" s="2188" t="n"/>
      <c r="D26" s="2189" t="n"/>
      <c r="E26" s="2190" t="n"/>
      <c r="F26" s="2187" t="n"/>
      <c r="G26" s="2188">
        <f>PL!D30</f>
        <v/>
      </c>
      <c r="H26" s="2188">
        <f>PL!H30</f>
        <v/>
      </c>
      <c r="I26" s="2188">
        <f>PL!L30</f>
        <v/>
      </c>
      <c r="J26" s="2187" t="n"/>
      <c r="K26" s="2189" t="n"/>
      <c r="L26" s="2189" t="n"/>
      <c r="M26" s="2189" t="n"/>
      <c r="N26" s="2187" t="n"/>
      <c r="O26" s="576">
        <f>(I26-H26)/H26</f>
        <v/>
      </c>
      <c r="P26" s="2227" t="n"/>
      <c r="Q26" s="2228" t="n"/>
    </row>
    <row customFormat="1" r="27" s="2173" spans="1:17">
      <c r="A27" s="2186" t="s">
        <v>159</v>
      </c>
      <c r="B27" s="2187" t="n"/>
      <c r="C27" s="2188" t="n"/>
      <c r="D27" s="2189" t="n"/>
      <c r="E27" s="2190" t="n"/>
      <c r="F27" s="2187" t="n"/>
      <c r="G27" s="2188">
        <f>PL!D29+PL!D40</f>
        <v/>
      </c>
      <c r="H27" s="2188">
        <f>PL!H29+PL!H40</f>
        <v/>
      </c>
      <c r="I27" s="2188">
        <f>PL!L29+PL!L40</f>
        <v/>
      </c>
      <c r="J27" s="2187" t="n"/>
      <c r="K27" s="2189" t="n"/>
      <c r="L27" s="2189" t="n"/>
      <c r="M27" s="2189" t="n"/>
      <c r="N27" s="2187" t="n"/>
      <c r="O27" s="576">
        <f>(I27-H27)/H27</f>
        <v/>
      </c>
      <c r="P27" s="2227" t="n"/>
      <c r="Q27" s="2228" t="n"/>
    </row>
    <row customFormat="1" r="28" s="2173" spans="1:17">
      <c r="A28" s="2186" t="s">
        <v>160</v>
      </c>
      <c r="B28" s="2187" t="n"/>
      <c r="C28" s="2188" t="n"/>
      <c r="D28" s="2189" t="n"/>
      <c r="E28" s="2190" t="n"/>
      <c r="F28" s="2187" t="n"/>
      <c r="G28" s="2188">
        <f>PL!D37</f>
        <v/>
      </c>
      <c r="H28" s="2188">
        <f>PL!H37</f>
        <v/>
      </c>
      <c r="I28" s="2188">
        <f>PL!L37</f>
        <v/>
      </c>
      <c r="J28" s="2187" t="n"/>
      <c r="K28" s="2189" t="n"/>
      <c r="L28" s="2189" t="n"/>
      <c r="M28" s="2189" t="n"/>
      <c r="N28" s="2187" t="n"/>
      <c r="O28" s="576">
        <f>(I28-H28)/H28</f>
        <v/>
      </c>
      <c r="P28" s="2227" t="n"/>
      <c r="Q28" s="2228" t="n"/>
    </row>
    <row customFormat="1" r="29" s="2173" spans="1:17">
      <c r="A29" s="2186" t="s">
        <v>161</v>
      </c>
      <c r="B29" s="2187" t="n"/>
      <c r="C29" s="2188" t="n"/>
      <c r="D29" s="2189" t="n"/>
      <c r="E29" s="2190" t="n"/>
      <c r="F29" s="2187" t="n"/>
      <c r="G29" s="2188">
        <f>PL!D35</f>
        <v/>
      </c>
      <c r="H29" s="2188">
        <f>PL!H35</f>
        <v/>
      </c>
      <c r="I29" s="2188">
        <f>PL!L35</f>
        <v/>
      </c>
      <c r="J29" s="2187" t="n"/>
      <c r="K29" s="2189" t="n"/>
      <c r="L29" s="2189" t="n"/>
      <c r="M29" s="2189" t="n"/>
      <c r="N29" s="2187" t="n"/>
      <c r="O29" s="576" t="n"/>
      <c r="Q29" s="2228" t="n"/>
    </row>
    <row customFormat="1" r="30" s="2173" spans="1:17">
      <c r="A30" s="2186" t="s">
        <v>162</v>
      </c>
      <c r="B30" s="2187" t="n"/>
      <c r="C30" s="2188" t="n"/>
      <c r="D30" s="2189" t="n"/>
      <c r="E30" s="2190" t="n"/>
      <c r="F30" s="2187" t="n"/>
      <c r="G30" s="2188">
        <f>PL!D36</f>
        <v/>
      </c>
      <c r="H30" s="2188">
        <f>PL!H36</f>
        <v/>
      </c>
      <c r="I30" s="2188">
        <f>PL!L36</f>
        <v/>
      </c>
      <c r="J30" s="2187" t="n"/>
      <c r="K30" s="2189" t="n"/>
      <c r="L30" s="2189" t="n"/>
      <c r="M30" s="2189" t="n"/>
      <c r="N30" s="2187" t="n"/>
      <c r="O30" s="576">
        <f>(I30-H30)/H30</f>
        <v/>
      </c>
      <c r="P30" s="2227" t="n"/>
      <c r="Q30" s="2228" t="n"/>
    </row>
    <row customFormat="1" r="31" s="2216" spans="1:17">
      <c r="A31" s="2186" t="s">
        <v>163</v>
      </c>
      <c r="B31" s="2187" t="n"/>
      <c r="C31" s="2188" t="n"/>
      <c r="D31" s="2189" t="n"/>
      <c r="E31" s="2229" t="n"/>
      <c r="F31" s="2187" t="n"/>
      <c r="G31" s="2188">
        <f>PL!D32</f>
        <v/>
      </c>
      <c r="H31" s="2188">
        <f>PL!H32</f>
        <v/>
      </c>
      <c r="I31" s="2188">
        <f>PL!L32</f>
        <v/>
      </c>
      <c r="J31" s="2187" t="n"/>
      <c r="K31" s="2230" t="n"/>
      <c r="L31" s="2230" t="n"/>
      <c r="M31" s="2189" t="n"/>
      <c r="N31" s="2187" t="n"/>
      <c r="O31" s="576">
        <f>(I31-H31)/H31</f>
        <v/>
      </c>
      <c r="P31" s="2227" t="n"/>
      <c r="Q31" s="2228" t="n"/>
    </row>
    <row customFormat="1" r="32" s="2173" spans="1:17">
      <c r="A32" s="2186" t="s">
        <v>164</v>
      </c>
      <c r="B32" s="2187" t="n"/>
      <c r="C32" s="2188" t="n"/>
      <c r="D32" s="2189" t="n"/>
      <c r="E32" s="2190" t="n"/>
      <c r="F32" s="2187" t="n"/>
      <c r="G32" s="2188">
        <f>PL!D28+PL!D31+PL!D33</f>
        <v/>
      </c>
      <c r="H32" s="2188">
        <f>PL!H28+PL!H31+PL!H33</f>
        <v/>
      </c>
      <c r="I32" s="2188">
        <f>PL!L28+PL!L31+PL!L33</f>
        <v/>
      </c>
      <c r="J32" s="2187" t="n"/>
      <c r="K32" s="2189" t="n"/>
      <c r="L32" s="2189" t="n"/>
      <c r="M32" s="2189" t="n"/>
      <c r="N32" s="2187" t="n"/>
      <c r="O32" s="576">
        <f>(I32-H32)/H32</f>
        <v/>
      </c>
      <c r="P32" s="2231" t="n"/>
      <c r="Q32" s="2228" t="n"/>
    </row>
    <row customFormat="1" r="33" s="2173" spans="1:17">
      <c r="A33" s="2194" t="s">
        <v>165</v>
      </c>
      <c r="B33" s="2195" t="n"/>
      <c r="C33" s="2196" t="n"/>
      <c r="D33" s="2197" t="n"/>
      <c r="E33" s="2198" t="n"/>
      <c r="F33" s="2195" t="n"/>
      <c r="G33" s="2232">
        <f>PL!D41+PL!D42+PL!D43</f>
        <v/>
      </c>
      <c r="H33" s="2232">
        <f>PL!H41+PL!H42+PL!H43</f>
        <v/>
      </c>
      <c r="I33" s="2232">
        <f>PL!L41+PL!L42+PL!L43</f>
        <v/>
      </c>
      <c r="J33" s="2195" t="n"/>
      <c r="K33" s="2197" t="n"/>
      <c r="L33" s="2197" t="n"/>
      <c r="M33" s="2197" t="n"/>
      <c r="N33" s="2187" t="n"/>
      <c r="O33" s="576">
        <f>(I33-H33)/H33</f>
        <v/>
      </c>
      <c r="P33" s="2227" t="n"/>
    </row>
    <row customFormat="1" r="34" s="2173" spans="1:17">
      <c r="A34" s="2186" t="s">
        <v>89</v>
      </c>
      <c r="B34" s="2187" t="n"/>
      <c r="C34" s="2233">
        <f>PL!C44</f>
        <v/>
      </c>
      <c r="D34" s="2234">
        <f>PL!G44</f>
        <v/>
      </c>
      <c r="E34" s="2235">
        <f>PL!K44</f>
        <v/>
      </c>
      <c r="F34" s="2187" t="n"/>
      <c r="G34" s="2188" t="n"/>
      <c r="H34" s="2189" t="n"/>
      <c r="I34" s="2190" t="n"/>
      <c r="J34" s="2187" t="n"/>
      <c r="K34" s="2189" t="n"/>
      <c r="L34" s="2189" t="n"/>
      <c r="M34" s="2189" t="n"/>
      <c r="N34" s="2187" t="n"/>
    </row>
    <row customFormat="1" r="35" s="2173" spans="1:17">
      <c r="A35" s="2186" t="s">
        <v>153</v>
      </c>
      <c r="B35" s="2187" t="n"/>
      <c r="C35" s="2188" t="n"/>
      <c r="D35" s="2189" t="n"/>
      <c r="E35" s="2190" t="n"/>
      <c r="F35" s="2187" t="n"/>
      <c r="G35" s="2188" t="n"/>
      <c r="H35" s="2189" t="n"/>
      <c r="I35" s="2190" t="n"/>
      <c r="J35" s="2187" t="n"/>
      <c r="K35" s="2189">
        <f>C37-SUM(G24:G35)</f>
        <v/>
      </c>
      <c r="L35" s="2189">
        <f>D37-SUM(H24:H35)</f>
        <v/>
      </c>
      <c r="M35" s="2189">
        <f>E37-SUM(I24:I35)</f>
        <v/>
      </c>
      <c r="N35" s="2187" t="n"/>
    </row>
    <row customFormat="1" r="36" s="2173" spans="1:17">
      <c r="A36" s="2204" t="s">
        <v>182</v>
      </c>
      <c r="B36" s="2187" t="n"/>
      <c r="C36" s="2205" t="n"/>
      <c r="D36" s="2236" t="n"/>
      <c r="E36" s="2237" t="n"/>
      <c r="F36" s="2187" t="n"/>
      <c r="G36" s="2205" t="n"/>
      <c r="H36" s="2206" t="n"/>
      <c r="I36" s="2207" t="n"/>
      <c r="J36" s="2187" t="n"/>
      <c r="K36" s="623">
        <f>K37/C37</f>
        <v/>
      </c>
      <c r="L36" s="624">
        <f>L37/D37</f>
        <v/>
      </c>
      <c r="M36" s="625">
        <f>M37/E37</f>
        <v/>
      </c>
      <c r="N36" s="2187" t="n"/>
    </row>
    <row customFormat="1" customHeight="1" ht="18" r="37" s="2238" spans="1:17" thickBot="1">
      <c r="A37" s="2239" t="s">
        <v>173</v>
      </c>
      <c r="B37" s="2240" t="n"/>
      <c r="C37" s="2241">
        <f>SUM(C24:C35)</f>
        <v/>
      </c>
      <c r="D37" s="2242">
        <f>SUM(D24:D35)</f>
        <v/>
      </c>
      <c r="E37" s="2243">
        <f>SUM(E24:E35)</f>
        <v/>
      </c>
      <c r="F37" s="2240" t="n"/>
      <c r="G37" s="2244">
        <f>SUM(G24:G35)</f>
        <v/>
      </c>
      <c r="H37" s="2245">
        <f>SUM(H24:H35)</f>
        <v/>
      </c>
      <c r="I37" s="2246">
        <f>SUM(I24:I35)</f>
        <v/>
      </c>
      <c r="J37" s="2240" t="n"/>
      <c r="K37" s="2247">
        <f>SUM(K24:K35)</f>
        <v/>
      </c>
      <c r="L37" s="2242">
        <f>SUM(L24:L35)</f>
        <v/>
      </c>
      <c r="M37" s="2246">
        <f>SUM(M24:M35)</f>
        <v/>
      </c>
      <c r="N37" s="2240" t="n"/>
      <c r="O37" s="613" t="n"/>
    </row>
    <row customFormat="1" r="38" s="2238" spans="1:17">
      <c r="A38" s="2248" t="n"/>
      <c r="B38" s="2152" t="n"/>
      <c r="C38" s="2152" t="n"/>
      <c r="D38" s="2152" t="n"/>
      <c r="E38" s="2152" t="n"/>
      <c r="F38" s="2152" t="n"/>
      <c r="G38" s="2152">
        <f>PL!L46</f>
        <v/>
      </c>
      <c r="H38" s="2152">
        <f>PL!P46</f>
        <v/>
      </c>
      <c r="I38" s="2152">
        <f>PL!T46</f>
        <v/>
      </c>
      <c r="J38" s="2152" t="n"/>
      <c r="K38" s="613" t="n"/>
      <c r="L38" s="613" t="n"/>
      <c r="M38" s="613" t="n"/>
      <c r="N38" s="2152" t="n"/>
      <c r="O38" s="613" t="n"/>
    </row>
    <row customFormat="1" r="39" s="2238" spans="1:17">
      <c r="A39" s="2248" t="n"/>
      <c r="B39" s="2152" t="n"/>
      <c r="C39" s="2152" t="n"/>
      <c r="D39" s="2152" t="n"/>
      <c r="E39" s="2152" t="n"/>
      <c r="F39" s="2152" t="n"/>
      <c r="G39" s="2152" t="n"/>
      <c r="H39" s="2152" t="n"/>
      <c r="I39" s="2152" t="n"/>
      <c r="J39" s="2152" t="n"/>
      <c r="K39" s="613" t="n"/>
      <c r="L39" s="613" t="n"/>
      <c r="M39" s="613" t="n"/>
      <c r="N39" s="2152" t="n"/>
      <c r="O39" s="613" t="n"/>
    </row>
    <row customFormat="1" customHeight="1" ht="18" r="40" s="2174" spans="1:17">
      <c r="A40" s="2175" t="n"/>
      <c r="B40" s="534" t="n"/>
      <c r="C40" s="2127" t="n"/>
      <c r="D40" s="2127" t="n"/>
      <c r="E40" s="2175" t="n"/>
      <c r="F40" s="534" t="n"/>
      <c r="G40" s="536" t="n"/>
      <c r="H40" s="536" t="n"/>
      <c r="I40" s="536" t="n"/>
      <c r="J40" s="534" t="n"/>
      <c r="K40" s="534" t="n"/>
      <c r="L40" s="534" t="n"/>
      <c r="M40" s="534" t="n"/>
      <c r="N40" s="534" t="n"/>
    </row>
    <row customFormat="1" customHeight="1" ht="18" r="41" s="2238" spans="1:17">
      <c r="A41" s="2249" t="n"/>
      <c r="B41" s="2152" t="n"/>
      <c r="C41" s="2152" t="n"/>
      <c r="D41" s="2152" t="n"/>
      <c r="E41" s="2152" t="n"/>
      <c r="F41" s="2152" t="n"/>
      <c r="G41" s="2152" t="n"/>
      <c r="H41" s="2152" t="n"/>
      <c r="I41" s="2152" t="n"/>
      <c r="J41" s="2152" t="n"/>
      <c r="K41" s="2152" t="n"/>
      <c r="L41" s="2152" t="n"/>
      <c r="M41" s="2152" t="n"/>
      <c r="N41" s="2152" t="n"/>
      <c r="O41" s="613" t="n"/>
    </row>
    <row customFormat="1" customHeight="1" ht="18" r="42" s="2174" spans="1:17" thickBot="1">
      <c r="A42" s="2175" t="n"/>
      <c r="B42" s="534" t="n"/>
      <c r="C42" s="2127" t="n"/>
      <c r="D42" s="2127" t="n"/>
      <c r="E42" s="2175" t="n"/>
      <c r="F42" s="534" t="n"/>
      <c r="G42" s="536" t="n"/>
      <c r="H42" s="536" t="n"/>
      <c r="I42" s="536" t="n"/>
      <c r="J42" s="534" t="n"/>
      <c r="K42" s="534" t="n"/>
      <c r="L42" s="534" t="n"/>
      <c r="M42" s="534" t="n"/>
      <c r="N42" s="534" t="n"/>
    </row>
    <row customFormat="1" customHeight="1" ht="18" r="43" s="2216" spans="1:17">
      <c r="A43" s="2250" t="n">
        <v>12273</v>
      </c>
      <c r="B43" s="2177" t="n"/>
      <c r="C43" s="2251">
        <f>$C$2</f>
        <v/>
      </c>
      <c r="D43" s="2252" t="n"/>
      <c r="E43" s="2253" t="n"/>
      <c r="F43" s="2254" t="n"/>
      <c r="G43" s="2251">
        <f>$G$2</f>
        <v/>
      </c>
      <c r="H43" s="2252" t="n"/>
      <c r="I43" s="2253" t="n"/>
      <c r="J43" s="2254" t="n"/>
      <c r="K43" s="2251">
        <f>$K$2</f>
        <v/>
      </c>
      <c r="L43" s="2252" t="n"/>
      <c r="M43" s="2253" t="n"/>
      <c r="N43" s="2177" t="n"/>
    </row>
    <row customFormat="1" customHeight="1" ht="30.75" r="44" s="2226" spans="1:17">
      <c r="B44" s="2182" t="n"/>
      <c r="C44" s="2183" t="s">
        <v>62</v>
      </c>
      <c r="D44" s="2184" t="s">
        <v>63</v>
      </c>
      <c r="E44" s="2185" t="s">
        <v>64</v>
      </c>
      <c r="F44" s="2182" t="n"/>
      <c r="G44" s="2183">
        <f>C44</f>
        <v/>
      </c>
      <c r="H44" s="2184">
        <f>D44</f>
        <v/>
      </c>
      <c r="I44" s="2185">
        <f>E44</f>
        <v/>
      </c>
      <c r="J44" s="2182" t="n"/>
      <c r="K44" s="2183">
        <f>C44</f>
        <v/>
      </c>
      <c r="L44" s="2184">
        <f>D44</f>
        <v/>
      </c>
      <c r="M44" s="2185">
        <f>E44</f>
        <v/>
      </c>
      <c r="N44" s="2182" t="n"/>
    </row>
    <row customFormat="1" r="45" s="2173" spans="1:17">
      <c r="A45" s="2255" t="s">
        <v>156</v>
      </c>
      <c r="B45" s="2187" t="n"/>
      <c r="C45" s="2188" t="n"/>
      <c r="D45" s="2189" t="n"/>
      <c r="E45" s="2190" t="n"/>
      <c r="F45" s="2187" t="n"/>
      <c r="G45" s="2188">
        <f>PL!D268</f>
        <v/>
      </c>
      <c r="H45" s="2188">
        <f>PL!H268</f>
        <v/>
      </c>
      <c r="I45" s="2188">
        <f>PL!L268</f>
        <v/>
      </c>
      <c r="J45" s="2187" t="n"/>
      <c r="K45" s="2188" t="n"/>
      <c r="L45" s="2189" t="n"/>
      <c r="M45" s="2190" t="n"/>
      <c r="N45" s="2187" t="n"/>
      <c r="O45" s="554">
        <f>(I45-H45)/H45</f>
        <v/>
      </c>
      <c r="P45" s="2228" t="n"/>
    </row>
    <row customFormat="1" r="46" s="2173" spans="1:17">
      <c r="A46" s="2255" t="s">
        <v>157</v>
      </c>
      <c r="B46" s="2187" t="n"/>
      <c r="C46" s="2188" t="n"/>
      <c r="D46" s="2189" t="n"/>
      <c r="E46" s="2190" t="n"/>
      <c r="F46" s="2187" t="n"/>
      <c r="G46" s="2188">
        <f>PL!D275</f>
        <v/>
      </c>
      <c r="H46" s="2188">
        <f>PL!H275</f>
        <v/>
      </c>
      <c r="I46" s="2188">
        <f>PL!L275</f>
        <v/>
      </c>
      <c r="J46" s="2187" t="n"/>
      <c r="K46" s="2188" t="n"/>
      <c r="L46" s="2189" t="n"/>
      <c r="M46" s="2190" t="n"/>
      <c r="N46" s="2187" t="n"/>
      <c r="O46" s="554">
        <f>(I46-H46)/H46</f>
        <v/>
      </c>
      <c r="P46" s="2228" t="n"/>
    </row>
    <row customFormat="1" r="47" s="2173" spans="1:17">
      <c r="A47" s="2255" t="s">
        <v>158</v>
      </c>
      <c r="B47" s="2187" t="n"/>
      <c r="C47" s="2188" t="n"/>
      <c r="D47" s="2189" t="n"/>
      <c r="E47" s="2190" t="n"/>
      <c r="F47" s="2187" t="n"/>
      <c r="G47" s="2188">
        <f>PL!D271</f>
        <v/>
      </c>
      <c r="H47" s="2188">
        <f>PL!H271</f>
        <v/>
      </c>
      <c r="I47" s="2188">
        <f>PL!L271</f>
        <v/>
      </c>
      <c r="J47" s="2187" t="n"/>
      <c r="K47" s="2188" t="n"/>
      <c r="L47" s="2189" t="n"/>
      <c r="M47" s="2190" t="n"/>
      <c r="N47" s="2187" t="n"/>
      <c r="O47" s="554">
        <f>(I47-H47)/H47</f>
        <v/>
      </c>
      <c r="P47" s="2228" t="n"/>
    </row>
    <row customFormat="1" r="48" s="2173" spans="1:17">
      <c r="A48" s="2255" t="s">
        <v>159</v>
      </c>
      <c r="B48" s="2187" t="n"/>
      <c r="C48" s="2188" t="n"/>
      <c r="D48" s="2189" t="n"/>
      <c r="E48" s="2190" t="n"/>
      <c r="F48" s="2187" t="n"/>
      <c r="G48" s="2188">
        <f>PL!D270+PL!D281</f>
        <v/>
      </c>
      <c r="H48" s="2188">
        <f>PL!H270+PL!H281</f>
        <v/>
      </c>
      <c r="I48" s="2188">
        <f>PL!L270+PL!L281</f>
        <v/>
      </c>
      <c r="J48" s="2187" t="n"/>
      <c r="K48" s="2188" t="n"/>
      <c r="L48" s="2189" t="n"/>
      <c r="M48" s="2190" t="n"/>
      <c r="N48" s="2187" t="n"/>
      <c r="O48" s="554">
        <f>(I48-H48)/H48</f>
        <v/>
      </c>
      <c r="P48" s="2228" t="n"/>
    </row>
    <row customFormat="1" r="49" s="2173" spans="1:17">
      <c r="A49" s="2255" t="s">
        <v>160</v>
      </c>
      <c r="B49" s="2187" t="n"/>
      <c r="C49" s="2188" t="n"/>
      <c r="D49" s="2189" t="n"/>
      <c r="E49" s="2190" t="n"/>
      <c r="F49" s="2187" t="n"/>
      <c r="G49" s="2188">
        <f>PL!D278</f>
        <v/>
      </c>
      <c r="H49" s="2188">
        <f>PL!H278</f>
        <v/>
      </c>
      <c r="I49" s="2188">
        <f>PL!L278</f>
        <v/>
      </c>
      <c r="J49" s="2187" t="n"/>
      <c r="K49" s="2188" t="n"/>
      <c r="L49" s="2189" t="n"/>
      <c r="M49" s="2190" t="n"/>
      <c r="N49" s="2187" t="n"/>
      <c r="O49" s="554">
        <f>(I49-H49)/H49</f>
        <v/>
      </c>
      <c r="P49" s="2228" t="n"/>
    </row>
    <row customFormat="1" r="50" s="2173" spans="1:17">
      <c r="A50" s="2255" t="s">
        <v>161</v>
      </c>
      <c r="B50" s="2187" t="n"/>
      <c r="C50" s="2188" t="n"/>
      <c r="D50" s="2189" t="n"/>
      <c r="E50" s="2190" t="n"/>
      <c r="F50" s="2187" t="n"/>
      <c r="G50" s="2188">
        <f>PL!D276</f>
        <v/>
      </c>
      <c r="H50" s="2188">
        <f>PL!H276</f>
        <v/>
      </c>
      <c r="I50" s="2188">
        <f>PL!L276</f>
        <v/>
      </c>
      <c r="J50" s="2187" t="n"/>
      <c r="K50" s="2188" t="n"/>
      <c r="L50" s="2189" t="n"/>
      <c r="M50" s="2190" t="n"/>
      <c r="N50" s="2187" t="n"/>
      <c r="O50" s="554" t="n"/>
      <c r="P50" s="2228" t="n"/>
    </row>
    <row customFormat="1" r="51" s="2173" spans="1:17">
      <c r="A51" s="2255" t="s">
        <v>162</v>
      </c>
      <c r="B51" s="2187" t="n"/>
      <c r="C51" s="2188" t="n"/>
      <c r="D51" s="2189" t="n"/>
      <c r="E51" s="2190" t="n"/>
      <c r="F51" s="2187" t="n"/>
      <c r="G51" s="2188">
        <f>PL!D277</f>
        <v/>
      </c>
      <c r="H51" s="2188">
        <f>PL!H277</f>
        <v/>
      </c>
      <c r="I51" s="2188">
        <f>PL!L277</f>
        <v/>
      </c>
      <c r="J51" s="2187" t="n"/>
      <c r="K51" s="2188" t="n"/>
      <c r="L51" s="2189" t="n"/>
      <c r="M51" s="2190" t="n"/>
      <c r="N51" s="2187" t="n"/>
      <c r="O51" s="554">
        <f>(I51-H51)/H51</f>
        <v/>
      </c>
      <c r="P51" s="2228" t="n"/>
    </row>
    <row customFormat="1" r="52" s="2216" spans="1:17">
      <c r="A52" s="2255" t="s">
        <v>163</v>
      </c>
      <c r="B52" s="2187" t="n"/>
      <c r="C52" s="2188" t="n"/>
      <c r="D52" s="2189" t="n"/>
      <c r="E52" s="2229" t="n"/>
      <c r="F52" s="2187" t="n"/>
      <c r="G52" s="2188">
        <f>PL!D273</f>
        <v/>
      </c>
      <c r="H52" s="2188">
        <f>PL!H273</f>
        <v/>
      </c>
      <c r="I52" s="2188">
        <f>PL!L273</f>
        <v/>
      </c>
      <c r="J52" s="2187" t="n"/>
      <c r="K52" s="2188" t="n"/>
      <c r="L52" s="2189" t="n"/>
      <c r="M52" s="2229" t="n"/>
      <c r="N52" s="2187" t="n"/>
      <c r="O52" s="554">
        <f>(I52-H52)/H52</f>
        <v/>
      </c>
      <c r="P52" s="2228" t="n"/>
    </row>
    <row customFormat="1" r="53" s="2173" spans="1:17">
      <c r="A53" s="2255" t="s">
        <v>164</v>
      </c>
      <c r="B53" s="2187" t="n"/>
      <c r="C53" s="2188" t="n"/>
      <c r="D53" s="2189" t="n"/>
      <c r="E53" s="2190" t="n"/>
      <c r="F53" s="2187" t="n"/>
      <c r="G53" s="2188">
        <f>PL!D269+PL!D274+PL!D272</f>
        <v/>
      </c>
      <c r="H53" s="2188">
        <f>PL!H269+PL!H274+PL!H272</f>
        <v/>
      </c>
      <c r="I53" s="2188">
        <f>PL!L269+PL!L274+PL!L272</f>
        <v/>
      </c>
      <c r="J53" s="2187" t="n"/>
      <c r="K53" s="2188" t="n"/>
      <c r="L53" s="2189" t="n"/>
      <c r="M53" s="2190" t="n"/>
      <c r="N53" s="2187" t="n"/>
      <c r="O53" s="554">
        <f>(I53-H53)/H53</f>
        <v/>
      </c>
      <c r="P53" s="2228" t="n"/>
    </row>
    <row customFormat="1" r="54" s="2173" spans="1:17">
      <c r="A54" s="2256" t="s">
        <v>165</v>
      </c>
      <c r="B54" s="2195" t="n"/>
      <c r="C54" s="2196" t="n"/>
      <c r="D54" s="2197" t="n"/>
      <c r="E54" s="2198" t="n"/>
      <c r="F54" s="2195" t="n"/>
      <c r="G54" s="2232">
        <f>PL!D282+PL!D283+PL!D284</f>
        <v/>
      </c>
      <c r="H54" s="2232">
        <f>PL!H282+PL!H283+PL!H284</f>
        <v/>
      </c>
      <c r="I54" s="2232">
        <f>PL!L282+PL!L283+PL!L284</f>
        <v/>
      </c>
      <c r="J54" s="2195" t="n"/>
      <c r="K54" s="2196" t="n"/>
      <c r="L54" s="2197" t="n"/>
      <c r="M54" s="2198" t="n"/>
      <c r="N54" s="2187" t="n"/>
      <c r="O54" s="554">
        <f>(I54-H54)/H54</f>
        <v/>
      </c>
      <c r="P54" s="2228" t="n"/>
    </row>
    <row customFormat="1" r="55" s="2173" spans="1:17">
      <c r="A55" s="2255" t="s">
        <v>89</v>
      </c>
      <c r="B55" s="2187" t="n"/>
      <c r="C55" s="2257">
        <f>PL!C285</f>
        <v/>
      </c>
      <c r="D55" s="2234">
        <f>PL!G285</f>
        <v/>
      </c>
      <c r="E55" s="2258">
        <f>PL!K285</f>
        <v/>
      </c>
      <c r="F55" s="2187" t="n"/>
      <c r="G55" s="2188" t="n"/>
      <c r="H55" s="2189" t="n"/>
      <c r="I55" s="2190" t="n"/>
      <c r="J55" s="2187" t="n"/>
      <c r="K55" s="2188" t="n"/>
      <c r="L55" s="2189" t="n"/>
      <c r="M55" s="2190" t="n"/>
      <c r="N55" s="2187" t="n"/>
    </row>
    <row customFormat="1" r="56" s="2173" spans="1:17">
      <c r="A56" s="2255" t="s">
        <v>153</v>
      </c>
      <c r="B56" s="2187" t="n"/>
      <c r="C56" s="2188" t="n"/>
      <c r="D56" s="2189" t="n"/>
      <c r="E56" s="2190" t="n"/>
      <c r="F56" s="2187" t="n"/>
      <c r="G56" s="2188" t="n"/>
      <c r="H56" s="2189" t="n"/>
      <c r="I56" s="2190" t="n"/>
      <c r="J56" s="2187" t="n"/>
      <c r="K56" s="2188">
        <f>SUM(C45:C56)-SUM(G45:G56)</f>
        <v/>
      </c>
      <c r="L56" s="2189">
        <f>SUM(D45:D56)-SUM(H45:H56)</f>
        <v/>
      </c>
      <c r="M56" s="2190">
        <f>SUM(E45:E56)-SUM(I45:I56)</f>
        <v/>
      </c>
      <c r="N56" s="2187" t="n"/>
    </row>
    <row customFormat="1" r="57" s="2173" spans="1:17">
      <c r="A57" s="2204" t="s">
        <v>182</v>
      </c>
      <c r="B57" s="2187" t="n"/>
      <c r="C57" s="2205" t="n"/>
      <c r="D57" s="2206" t="n"/>
      <c r="E57" s="2207" t="n"/>
      <c r="F57" s="2187" t="n"/>
      <c r="G57" s="2205" t="n"/>
      <c r="H57" s="2206" t="n"/>
      <c r="I57" s="2207" t="n"/>
      <c r="J57" s="2187" t="n"/>
      <c r="K57" s="632">
        <f>K58/C58</f>
        <v/>
      </c>
      <c r="L57" s="633">
        <f>L58/D58</f>
        <v/>
      </c>
      <c r="M57" s="625">
        <f>M58/E58</f>
        <v/>
      </c>
      <c r="N57" s="2187" t="n"/>
    </row>
    <row customFormat="1" customHeight="1" ht="18" r="58" s="2238" spans="1:17" thickBot="1">
      <c r="A58" s="2259" t="s">
        <v>173</v>
      </c>
      <c r="B58" s="2240" t="n"/>
      <c r="C58" s="2244">
        <f>SUM(C45:C56)</f>
        <v/>
      </c>
      <c r="D58" s="2245">
        <f>SUM(D45:D56)</f>
        <v/>
      </c>
      <c r="E58" s="2246">
        <f>SUM(E45:E56)</f>
        <v/>
      </c>
      <c r="F58" s="2240" t="n"/>
      <c r="G58" s="2244">
        <f>SUM(G45:G56)</f>
        <v/>
      </c>
      <c r="H58" s="2245">
        <f>SUM(H45:H56)</f>
        <v/>
      </c>
      <c r="I58" s="2246">
        <f>SUM(I45:I56)</f>
        <v/>
      </c>
      <c r="J58" s="2240" t="n"/>
      <c r="K58" s="2244">
        <f>SUM(K45:K56)</f>
        <v/>
      </c>
      <c r="L58" s="2245">
        <f>SUM(L45:L56)</f>
        <v/>
      </c>
      <c r="M58" s="2246">
        <f>SUM(M45:M56)</f>
        <v/>
      </c>
      <c r="N58" s="2240" t="n"/>
      <c r="O58" s="613" t="n"/>
    </row>
    <row customFormat="1" customHeight="1" ht="18" r="59" s="2174" spans="1:17">
      <c r="A59" s="2175" t="n"/>
      <c r="B59" s="534" t="n"/>
      <c r="C59" s="2127" t="n"/>
      <c r="D59" s="2127" t="n"/>
      <c r="E59" s="2175" t="n"/>
      <c r="F59" s="534" t="n"/>
      <c r="G59" s="2152">
        <f>PL!L287</f>
        <v/>
      </c>
      <c r="H59" s="2152">
        <f>PL!P287</f>
        <v/>
      </c>
      <c r="I59" s="2152">
        <f>PL!T287</f>
        <v/>
      </c>
      <c r="J59" s="534" t="n"/>
      <c r="K59" s="534" t="n"/>
      <c r="L59" s="534" t="n"/>
      <c r="M59" s="534" t="n"/>
      <c r="N59" s="534" t="n"/>
    </row>
    <row customFormat="1" customHeight="1" ht="18" r="60" s="2174" spans="1:17">
      <c r="A60" s="2175" t="n"/>
      <c r="B60" s="534" t="n"/>
      <c r="C60" s="2127" t="n"/>
      <c r="D60" s="2127" t="n"/>
      <c r="E60" s="2175" t="n"/>
      <c r="F60" s="534" t="n"/>
      <c r="G60" s="536" t="n"/>
      <c r="H60" s="536" t="n"/>
      <c r="I60" s="536" t="n"/>
      <c r="J60" s="534" t="n"/>
      <c r="K60" s="534" t="n"/>
      <c r="L60" s="534" t="n"/>
      <c r="M60" s="534" t="n"/>
      <c r="N60" s="534" t="n"/>
    </row>
    <row customFormat="1" customHeight="1" ht="18" r="61" s="2238" spans="1:17" thickBot="1">
      <c r="A61" s="2248" t="n"/>
      <c r="B61" s="2152" t="n"/>
      <c r="C61" s="2152" t="n"/>
      <c r="D61" s="2152" t="n"/>
      <c r="E61" s="2152" t="n"/>
      <c r="F61" s="2152" t="n"/>
      <c r="G61" s="2152" t="n"/>
      <c r="H61" s="2152" t="n"/>
      <c r="I61" s="2152" t="n"/>
      <c r="J61" s="2152" t="n"/>
      <c r="K61" s="2152" t="n"/>
      <c r="L61" s="2152" t="n"/>
      <c r="M61" s="2152" t="n"/>
      <c r="N61" s="2152" t="n"/>
    </row>
    <row customHeight="1" ht="18" r="62" s="1843" spans="1:17">
      <c r="A62" s="2260" t="n">
        <v>12276</v>
      </c>
      <c r="B62" s="2177" t="n"/>
      <c r="C62" s="2261">
        <f>$C$2</f>
        <v/>
      </c>
      <c r="D62" s="2262" t="n"/>
      <c r="E62" s="2263" t="n"/>
      <c r="F62" s="2264" t="n"/>
      <c r="G62" s="2261">
        <f>$G$2</f>
        <v/>
      </c>
      <c r="H62" s="2262" t="n"/>
      <c r="I62" s="2263" t="n"/>
      <c r="J62" s="2264" t="n"/>
      <c r="K62" s="2261">
        <f>$K$2</f>
        <v/>
      </c>
      <c r="L62" s="2262" t="n"/>
      <c r="M62" s="2263" t="n"/>
      <c r="N62" s="2177" t="n"/>
      <c r="O62" s="2216" t="n"/>
    </row>
    <row customHeight="1" ht="30.75" r="63" s="1843" spans="1:17">
      <c r="B63" s="2182" t="n"/>
      <c r="C63" s="2183" t="s">
        <v>62</v>
      </c>
      <c r="D63" s="2184" t="s">
        <v>63</v>
      </c>
      <c r="E63" s="2185" t="s">
        <v>64</v>
      </c>
      <c r="F63" s="2182" t="n"/>
      <c r="G63" s="2183">
        <f>C63</f>
        <v/>
      </c>
      <c r="H63" s="2184">
        <f>D63</f>
        <v/>
      </c>
      <c r="I63" s="2185">
        <f>E63</f>
        <v/>
      </c>
      <c r="J63" s="2182" t="n"/>
      <c r="K63" s="2183">
        <f>C63</f>
        <v/>
      </c>
      <c r="L63" s="2184">
        <f>D63</f>
        <v/>
      </c>
      <c r="M63" s="2185">
        <f>E63</f>
        <v/>
      </c>
      <c r="N63" s="2182" t="n"/>
      <c r="O63" s="2226" t="n"/>
    </row>
    <row r="64" spans="1:17">
      <c r="A64" s="2255" t="s">
        <v>156</v>
      </c>
      <c r="B64" s="2187" t="n"/>
      <c r="C64" s="2188" t="n"/>
      <c r="D64" s="2189" t="n"/>
      <c r="E64" s="2190" t="n"/>
      <c r="F64" s="2187" t="n"/>
      <c r="G64" s="2188">
        <f>PL!D365</f>
        <v/>
      </c>
      <c r="H64" s="2188">
        <f>PL!H365</f>
        <v/>
      </c>
      <c r="I64" s="2188">
        <f>PL!L365</f>
        <v/>
      </c>
      <c r="J64" s="2187" t="n"/>
      <c r="K64" s="2188" t="n"/>
      <c r="L64" s="2189" t="n"/>
      <c r="M64" s="2190" t="n"/>
      <c r="N64" s="2187" t="n"/>
      <c r="O64" s="554" t="n"/>
    </row>
    <row r="65" spans="1:17">
      <c r="A65" s="2255" t="s">
        <v>157</v>
      </c>
      <c r="B65" s="2187" t="n"/>
      <c r="C65" s="2188" t="n"/>
      <c r="D65" s="2189" t="n"/>
      <c r="E65" s="2190" t="n"/>
      <c r="F65" s="2187" t="n"/>
      <c r="G65" s="2188">
        <f>PL!D372</f>
        <v/>
      </c>
      <c r="H65" s="2188">
        <f>PL!H372</f>
        <v/>
      </c>
      <c r="I65" s="2188">
        <f>PL!L372</f>
        <v/>
      </c>
      <c r="J65" s="2187" t="n"/>
      <c r="K65" s="2188" t="n"/>
      <c r="L65" s="2189" t="n"/>
      <c r="M65" s="2190" t="n"/>
      <c r="N65" s="2187" t="n"/>
      <c r="O65" s="554" t="n"/>
    </row>
    <row r="66" spans="1:17">
      <c r="A66" s="2255" t="s">
        <v>158</v>
      </c>
      <c r="B66" s="2187" t="n"/>
      <c r="C66" s="2188" t="n"/>
      <c r="D66" s="2189" t="n"/>
      <c r="E66" s="2190" t="n"/>
      <c r="F66" s="2187" t="n"/>
      <c r="G66" s="2188">
        <f>PL!D368</f>
        <v/>
      </c>
      <c r="H66" s="2188">
        <f>PL!H368</f>
        <v/>
      </c>
      <c r="I66" s="2188">
        <f>PL!L368</f>
        <v/>
      </c>
      <c r="J66" s="2187" t="n"/>
      <c r="K66" s="2188" t="n"/>
      <c r="L66" s="2189" t="n"/>
      <c r="M66" s="2190" t="n"/>
      <c r="N66" s="2187" t="n"/>
      <c r="O66" s="554" t="n"/>
    </row>
    <row r="67" spans="1:17">
      <c r="A67" s="2255" t="s">
        <v>159</v>
      </c>
      <c r="B67" s="2187" t="n"/>
      <c r="C67" s="2188" t="n"/>
      <c r="D67" s="2189" t="n"/>
      <c r="E67" s="2190" t="n"/>
      <c r="F67" s="2187" t="n"/>
      <c r="G67" s="2188">
        <f>PL!D367+PL!D378</f>
        <v/>
      </c>
      <c r="H67" s="2188">
        <f>PL!H367+PL!H378</f>
        <v/>
      </c>
      <c r="I67" s="2188">
        <f>PL!L367+PL!L378</f>
        <v/>
      </c>
      <c r="J67" s="2187" t="n"/>
      <c r="K67" s="2188" t="n"/>
      <c r="L67" s="2189" t="n"/>
      <c r="M67" s="2190" t="n"/>
      <c r="N67" s="2187" t="n"/>
      <c r="O67" s="554" t="n"/>
    </row>
    <row r="68" spans="1:17">
      <c r="A68" s="2255" t="s">
        <v>160</v>
      </c>
      <c r="B68" s="2187" t="n"/>
      <c r="C68" s="2188" t="n"/>
      <c r="D68" s="2189" t="n"/>
      <c r="E68" s="2190" t="n"/>
      <c r="F68" s="2187" t="n"/>
      <c r="G68" s="2188">
        <f>PL!D375</f>
        <v/>
      </c>
      <c r="H68" s="2188">
        <f>PL!H375</f>
        <v/>
      </c>
      <c r="I68" s="2188">
        <f>PL!L375</f>
        <v/>
      </c>
      <c r="J68" s="2187" t="n"/>
      <c r="K68" s="2188" t="n"/>
      <c r="L68" s="2189" t="n"/>
      <c r="M68" s="2190" t="n"/>
      <c r="N68" s="2187" t="n"/>
      <c r="O68" s="554" t="n"/>
    </row>
    <row r="69" spans="1:17">
      <c r="A69" s="2255" t="s">
        <v>161</v>
      </c>
      <c r="B69" s="2187" t="n"/>
      <c r="C69" s="2188" t="n"/>
      <c r="D69" s="2189" t="n"/>
      <c r="E69" s="2190" t="n"/>
      <c r="F69" s="2187" t="n"/>
      <c r="G69" s="2188">
        <f>PL!D373</f>
        <v/>
      </c>
      <c r="H69" s="2188">
        <f>PL!H373</f>
        <v/>
      </c>
      <c r="I69" s="2188">
        <f>PL!L373</f>
        <v/>
      </c>
      <c r="J69" s="2187" t="n"/>
      <c r="K69" s="2188" t="n"/>
      <c r="L69" s="2189" t="n"/>
      <c r="M69" s="2190" t="n"/>
      <c r="N69" s="2187" t="n"/>
      <c r="O69" s="554" t="n"/>
    </row>
    <row r="70" spans="1:17">
      <c r="A70" s="2255" t="s">
        <v>162</v>
      </c>
      <c r="B70" s="2187" t="n"/>
      <c r="C70" s="2188" t="n"/>
      <c r="D70" s="2189" t="n"/>
      <c r="E70" s="2190" t="n"/>
      <c r="F70" s="2187" t="n"/>
      <c r="G70" s="2188">
        <f>PL!D374</f>
        <v/>
      </c>
      <c r="H70" s="2188">
        <f>PL!H374</f>
        <v/>
      </c>
      <c r="I70" s="2188">
        <f>PL!L374</f>
        <v/>
      </c>
      <c r="J70" s="2187" t="n"/>
      <c r="K70" s="2188" t="n"/>
      <c r="L70" s="2189" t="n"/>
      <c r="M70" s="2190" t="n"/>
      <c r="N70" s="2187" t="n"/>
      <c r="O70" s="554" t="n"/>
    </row>
    <row r="71" spans="1:17">
      <c r="A71" s="2255" t="s">
        <v>163</v>
      </c>
      <c r="B71" s="2187" t="n"/>
      <c r="C71" s="2188" t="n"/>
      <c r="D71" s="2189" t="n"/>
      <c r="E71" s="2229" t="n"/>
      <c r="F71" s="2187" t="n"/>
      <c r="G71" s="2188">
        <f>PL!D370</f>
        <v/>
      </c>
      <c r="H71" s="2188">
        <f>PL!H370</f>
        <v/>
      </c>
      <c r="I71" s="2188">
        <f>PL!L370</f>
        <v/>
      </c>
      <c r="J71" s="2187" t="n"/>
      <c r="K71" s="2188" t="n"/>
      <c r="L71" s="2189" t="n"/>
      <c r="M71" s="2229" t="n"/>
      <c r="N71" s="2187" t="n"/>
      <c r="O71" s="554" t="n"/>
    </row>
    <row r="72" spans="1:17">
      <c r="A72" s="2255" t="s">
        <v>164</v>
      </c>
      <c r="B72" s="2187" t="n"/>
      <c r="C72" s="2188" t="n"/>
      <c r="D72" s="2189" t="n"/>
      <c r="E72" s="2190" t="n"/>
      <c r="F72" s="2187" t="n"/>
      <c r="G72" s="2188">
        <f>PL!D366+PL!D369+PL!D371</f>
        <v/>
      </c>
      <c r="H72" s="2188">
        <f>PL!H366+PL!H369+PL!H371</f>
        <v/>
      </c>
      <c r="I72" s="2188">
        <f>PL!L366+PL!L369+PL!L371</f>
        <v/>
      </c>
      <c r="J72" s="2187" t="n"/>
      <c r="K72" s="2188" t="n"/>
      <c r="L72" s="2189" t="n"/>
      <c r="M72" s="2190" t="n"/>
      <c r="N72" s="2187" t="n"/>
      <c r="O72" s="554" t="n"/>
    </row>
    <row r="73" spans="1:17">
      <c r="A73" s="2256" t="s">
        <v>165</v>
      </c>
      <c r="B73" s="2195" t="n"/>
      <c r="C73" s="2196" t="n"/>
      <c r="D73" s="2197" t="n"/>
      <c r="E73" s="2198" t="n"/>
      <c r="F73" s="2195" t="n"/>
      <c r="G73" s="2232">
        <f>PL!D379+PL!#REF!+PL!D381</f>
        <v/>
      </c>
      <c r="H73" s="2232">
        <f>PL!H379+PL!#REF!+PL!H381</f>
        <v/>
      </c>
      <c r="I73" s="2232">
        <f>PL!L379+PL!#REF!+PL!L381</f>
        <v/>
      </c>
      <c r="J73" s="2195" t="n"/>
      <c r="K73" s="2196" t="n"/>
      <c r="L73" s="2197" t="n"/>
      <c r="M73" s="2198" t="n"/>
      <c r="N73" s="2187" t="n"/>
      <c r="O73" s="554" t="n"/>
    </row>
    <row r="74" spans="1:17">
      <c r="A74" s="2255" t="s">
        <v>89</v>
      </c>
      <c r="B74" s="2187" t="n"/>
      <c r="C74" s="2257">
        <f>PL!C382</f>
        <v/>
      </c>
      <c r="D74" s="2257">
        <f>PL!G382</f>
        <v/>
      </c>
      <c r="E74" s="2257">
        <f>PL!K382</f>
        <v/>
      </c>
      <c r="F74" s="2187" t="n"/>
      <c r="G74" s="2188" t="n"/>
      <c r="H74" s="2189" t="n"/>
      <c r="I74" s="2190" t="n"/>
      <c r="J74" s="2187" t="n"/>
      <c r="K74" s="2188" t="n"/>
      <c r="L74" s="2189" t="n"/>
      <c r="M74" s="2190" t="n"/>
      <c r="N74" s="2187" t="n"/>
      <c r="O74" s="2173" t="n"/>
    </row>
    <row r="75" spans="1:17">
      <c r="A75" s="2265">
        <f>A56</f>
        <v/>
      </c>
      <c r="B75" s="2187" t="n"/>
      <c r="C75" s="2188" t="n"/>
      <c r="D75" s="2189" t="n"/>
      <c r="E75" s="2190" t="n"/>
      <c r="F75" s="2187" t="n"/>
      <c r="G75" s="2188" t="n"/>
      <c r="H75" s="2189" t="n"/>
      <c r="I75" s="2190" t="n"/>
      <c r="J75" s="2187" t="n"/>
      <c r="K75" s="2188">
        <f>SUM(C64:C75)-SUM(G64:G75)</f>
        <v/>
      </c>
      <c r="L75" s="2189">
        <f>SUM(D64:D75)-SUM(H64:H75)</f>
        <v/>
      </c>
      <c r="M75" s="2190">
        <f>SUM(E64:E75)-SUM(I64:I75)</f>
        <v/>
      </c>
      <c r="N75" s="2187" t="n"/>
      <c r="O75" s="2173" t="n"/>
    </row>
    <row r="76" spans="1:17">
      <c r="A76" s="2204" t="s">
        <v>182</v>
      </c>
      <c r="B76" s="2187" t="n"/>
      <c r="C76" s="2205" t="n"/>
      <c r="D76" s="2206" t="n"/>
      <c r="E76" s="2207" t="n"/>
      <c r="F76" s="2187" t="n"/>
      <c r="G76" s="2205" t="n"/>
      <c r="H76" s="2206" t="n"/>
      <c r="I76" s="2207" t="n"/>
      <c r="J76" s="2187" t="n"/>
      <c r="K76" s="632">
        <f>K77/C77</f>
        <v/>
      </c>
      <c r="L76" s="633">
        <f>L77/D77</f>
        <v/>
      </c>
      <c r="M76" s="625">
        <f>M77/E77</f>
        <v/>
      </c>
      <c r="N76" s="2187" t="n"/>
      <c r="O76" s="2173" t="n"/>
    </row>
    <row customHeight="1" ht="18" r="77" s="1843" spans="1:17" thickBot="1">
      <c r="A77" s="2266" t="s">
        <v>173</v>
      </c>
      <c r="B77" s="2240" t="n"/>
      <c r="C77" s="2244">
        <f>SUM(C64:C75)</f>
        <v/>
      </c>
      <c r="D77" s="2245">
        <f>SUM(D64:D75)</f>
        <v/>
      </c>
      <c r="E77" s="2246">
        <f>SUM(E64:E75)</f>
        <v/>
      </c>
      <c r="F77" s="2240" t="n"/>
      <c r="G77" s="2244">
        <f>SUM(G64:G75)</f>
        <v/>
      </c>
      <c r="H77" s="2245">
        <f>SUM(H64:H75)</f>
        <v/>
      </c>
      <c r="I77" s="2246">
        <f>SUM(I64:I75)</f>
        <v/>
      </c>
      <c r="J77" s="2240" t="n"/>
      <c r="K77" s="2244">
        <f>SUM(K64:K75)</f>
        <v/>
      </c>
      <c r="L77" s="2245">
        <f>SUM(L64:L75)</f>
        <v/>
      </c>
      <c r="M77" s="2246">
        <f>SUM(M64:M75)</f>
        <v/>
      </c>
      <c r="N77" s="2240" t="n"/>
      <c r="O77" s="613" t="n"/>
    </row>
    <row r="78" spans="1:17">
      <c r="A78" s="2267" t="n"/>
      <c r="G78" s="2152">
        <f>PL!#REF!</f>
        <v/>
      </c>
      <c r="H78" s="2152">
        <f>PL!#REF!</f>
        <v/>
      </c>
      <c r="I78" s="2152">
        <f>PL!#REF!</f>
        <v/>
      </c>
    </row>
    <row customHeight="1" ht="18" r="79" s="1843" spans="1:17" thickBot="1"/>
    <row customHeight="1" ht="18" r="80" s="1843" spans="1:17">
      <c r="A80" s="2260" t="n">
        <v>12278</v>
      </c>
      <c r="B80" s="2177" t="n"/>
      <c r="C80" s="2261">
        <f>$C$2</f>
        <v/>
      </c>
      <c r="D80" s="2262" t="n"/>
      <c r="E80" s="2263" t="n"/>
      <c r="F80" s="2264" t="n"/>
      <c r="G80" s="2261">
        <f>$G$2</f>
        <v/>
      </c>
      <c r="H80" s="2262" t="n"/>
      <c r="I80" s="2263" t="n"/>
      <c r="J80" s="2264" t="n"/>
      <c r="K80" s="2261">
        <f>$K$2</f>
        <v/>
      </c>
      <c r="L80" s="2262" t="n"/>
      <c r="M80" s="2263" t="n"/>
      <c r="N80" s="2177" t="n"/>
      <c r="O80" s="2216" t="n"/>
    </row>
    <row customHeight="1" ht="30.75" r="81" s="1843" spans="1:17">
      <c r="B81" s="2182" t="n"/>
      <c r="C81" s="2183" t="s">
        <v>62</v>
      </c>
      <c r="D81" s="2184" t="s">
        <v>63</v>
      </c>
      <c r="E81" s="2185" t="s">
        <v>64</v>
      </c>
      <c r="F81" s="2182" t="n"/>
      <c r="G81" s="2183">
        <f>C81</f>
        <v/>
      </c>
      <c r="H81" s="2184">
        <f>D81</f>
        <v/>
      </c>
      <c r="I81" s="2185">
        <f>E81</f>
        <v/>
      </c>
      <c r="J81" s="2182" t="n"/>
      <c r="K81" s="2183">
        <f>C81</f>
        <v/>
      </c>
      <c r="L81" s="2184">
        <f>D81</f>
        <v/>
      </c>
      <c r="M81" s="2185">
        <f>E81</f>
        <v/>
      </c>
      <c r="N81" s="2182" t="n"/>
      <c r="O81" s="2226" t="n"/>
    </row>
    <row r="82" spans="1:17">
      <c r="A82" s="2255" t="s">
        <v>156</v>
      </c>
      <c r="B82" s="2187" t="n"/>
      <c r="C82" s="2188" t="n"/>
      <c r="D82" s="2189" t="n"/>
      <c r="E82" s="2190" t="n"/>
      <c r="F82" s="2187" t="n"/>
      <c r="G82" s="2188">
        <f>PL!D437</f>
        <v/>
      </c>
      <c r="H82" s="2188">
        <f>PL!H437</f>
        <v/>
      </c>
      <c r="I82" s="2188">
        <f>PL!L437</f>
        <v/>
      </c>
      <c r="J82" s="2187" t="n"/>
      <c r="K82" s="2188" t="n"/>
      <c r="L82" s="2189" t="n"/>
      <c r="M82" s="2190" t="n"/>
      <c r="N82" s="2187" t="n"/>
      <c r="O82" s="554" t="n"/>
    </row>
    <row r="83" spans="1:17">
      <c r="A83" s="2255" t="s">
        <v>157</v>
      </c>
      <c r="B83" s="2187" t="n"/>
      <c r="C83" s="2188" t="n"/>
      <c r="D83" s="2189" t="n"/>
      <c r="E83" s="2190" t="n"/>
      <c r="F83" s="2187" t="n"/>
      <c r="G83" s="2188">
        <f>PL!D444</f>
        <v/>
      </c>
      <c r="H83" s="2188">
        <f>PL!H444</f>
        <v/>
      </c>
      <c r="I83" s="2188">
        <f>PL!L444</f>
        <v/>
      </c>
      <c r="J83" s="2187" t="n"/>
      <c r="K83" s="2188" t="n"/>
      <c r="L83" s="2189" t="n"/>
      <c r="M83" s="2190" t="n"/>
      <c r="N83" s="2187" t="n"/>
      <c r="O83" s="554" t="n"/>
    </row>
    <row r="84" spans="1:17">
      <c r="A84" s="2255" t="s">
        <v>158</v>
      </c>
      <c r="B84" s="2187" t="n"/>
      <c r="C84" s="2188" t="n"/>
      <c r="D84" s="2189" t="n"/>
      <c r="E84" s="2190" t="n"/>
      <c r="F84" s="2187" t="n"/>
      <c r="G84" s="2188">
        <f>PL!D440</f>
        <v/>
      </c>
      <c r="H84" s="2188">
        <f>PL!H440</f>
        <v/>
      </c>
      <c r="I84" s="2188">
        <f>PL!L440</f>
        <v/>
      </c>
      <c r="J84" s="2187" t="n"/>
      <c r="K84" s="2188" t="n"/>
      <c r="L84" s="2189" t="n"/>
      <c r="M84" s="2190" t="n"/>
      <c r="N84" s="2187" t="n"/>
      <c r="O84" s="554" t="n"/>
    </row>
    <row r="85" spans="1:17">
      <c r="A85" s="2255" t="s">
        <v>159</v>
      </c>
      <c r="B85" s="2187" t="n"/>
      <c r="C85" s="2188" t="n"/>
      <c r="D85" s="2189" t="n"/>
      <c r="E85" s="2190" t="n"/>
      <c r="F85" s="2187" t="n"/>
      <c r="G85" s="2188">
        <f>PL!D439+PL!D449</f>
        <v/>
      </c>
      <c r="H85" s="2188">
        <f>PL!H439+PL!H449</f>
        <v/>
      </c>
      <c r="I85" s="2188">
        <f>PL!L439+PL!L449</f>
        <v/>
      </c>
      <c r="J85" s="2187" t="n"/>
      <c r="K85" s="2188" t="n"/>
      <c r="L85" s="2189" t="n"/>
      <c r="M85" s="2190" t="n"/>
      <c r="N85" s="2187" t="n"/>
      <c r="O85" s="554" t="n"/>
    </row>
    <row r="86" spans="1:17">
      <c r="A86" s="2255" t="s">
        <v>160</v>
      </c>
      <c r="B86" s="2187" t="n"/>
      <c r="C86" s="2188" t="n"/>
      <c r="D86" s="2189" t="n"/>
      <c r="E86" s="2190" t="n"/>
      <c r="F86" s="2187" t="n"/>
      <c r="G86" s="2188">
        <f>PL!D447+PL!D448</f>
        <v/>
      </c>
      <c r="H86" s="2188">
        <f>PL!H447+PL!H448</f>
        <v/>
      </c>
      <c r="I86" s="2188">
        <f>PL!L447+PL!L448</f>
        <v/>
      </c>
      <c r="J86" s="2187" t="n"/>
      <c r="K86" s="2188" t="n"/>
      <c r="L86" s="2189" t="n"/>
      <c r="M86" s="2190" t="n"/>
      <c r="N86" s="2187" t="n"/>
      <c r="O86" s="554" t="n"/>
    </row>
    <row r="87" spans="1:17">
      <c r="A87" s="2255" t="s">
        <v>161</v>
      </c>
      <c r="B87" s="2187" t="n"/>
      <c r="C87" s="2188" t="n"/>
      <c r="D87" s="2189" t="n"/>
      <c r="E87" s="2190" t="n"/>
      <c r="F87" s="2187" t="n"/>
      <c r="G87" s="2188">
        <f>PL!D445</f>
        <v/>
      </c>
      <c r="H87" s="2188">
        <f>PL!H445</f>
        <v/>
      </c>
      <c r="I87" s="2188">
        <f>PL!L445</f>
        <v/>
      </c>
      <c r="J87" s="2187" t="n"/>
      <c r="K87" s="2188" t="n"/>
      <c r="L87" s="2189" t="n"/>
      <c r="M87" s="2190" t="n"/>
      <c r="N87" s="2187" t="n"/>
      <c r="O87" s="554" t="n"/>
    </row>
    <row r="88" spans="1:17">
      <c r="A88" s="2255" t="s">
        <v>162</v>
      </c>
      <c r="B88" s="2187" t="n"/>
      <c r="C88" s="2188" t="n"/>
      <c r="D88" s="2189" t="n"/>
      <c r="E88" s="2190" t="n"/>
      <c r="F88" s="2187" t="n"/>
      <c r="G88" s="2188">
        <f>PL!D446</f>
        <v/>
      </c>
      <c r="H88" s="2188">
        <f>PL!H446</f>
        <v/>
      </c>
      <c r="I88" s="2188">
        <f>PL!L446</f>
        <v/>
      </c>
      <c r="J88" s="2187" t="n"/>
      <c r="K88" s="2188" t="n"/>
      <c r="L88" s="2189" t="n"/>
      <c r="M88" s="2190" t="n"/>
      <c r="N88" s="2187" t="n"/>
      <c r="O88" s="554" t="n"/>
    </row>
    <row r="89" spans="1:17">
      <c r="A89" s="2255" t="s">
        <v>163</v>
      </c>
      <c r="B89" s="2187" t="n"/>
      <c r="C89" s="2188" t="n"/>
      <c r="D89" s="2189" t="n"/>
      <c r="E89" s="2229" t="n"/>
      <c r="F89" s="2187" t="n"/>
      <c r="G89" s="2188">
        <f>PL!D442</f>
        <v/>
      </c>
      <c r="H89" s="2188">
        <f>PL!H442</f>
        <v/>
      </c>
      <c r="I89" s="2188">
        <f>PL!L442</f>
        <v/>
      </c>
      <c r="J89" s="2187" t="n"/>
      <c r="K89" s="2188" t="n"/>
      <c r="L89" s="2189" t="n"/>
      <c r="M89" s="2229" t="n"/>
      <c r="N89" s="2187" t="n"/>
      <c r="O89" s="554" t="n"/>
    </row>
    <row r="90" spans="1:17">
      <c r="A90" s="2255" t="s">
        <v>164</v>
      </c>
      <c r="B90" s="2187" t="n"/>
      <c r="C90" s="2188" t="n"/>
      <c r="D90" s="2189" t="n"/>
      <c r="E90" s="2190" t="n"/>
      <c r="F90" s="2187" t="n"/>
      <c r="G90" s="2188">
        <f>PL!D438+PL!D441+PL!D443</f>
        <v/>
      </c>
      <c r="H90" s="2188">
        <f>PL!H438+PL!H441+PL!H443</f>
        <v/>
      </c>
      <c r="I90" s="2188">
        <f>PL!L438+PL!L441+PL!L443</f>
        <v/>
      </c>
      <c r="J90" s="2187" t="n"/>
      <c r="K90" s="2188" t="n"/>
      <c r="L90" s="2189" t="n"/>
      <c r="M90" s="2190" t="n"/>
      <c r="N90" s="2187" t="n"/>
      <c r="O90" s="554" t="n"/>
    </row>
    <row r="91" spans="1:17">
      <c r="A91" s="2256" t="s">
        <v>165</v>
      </c>
      <c r="B91" s="2195" t="n"/>
      <c r="C91" s="2196" t="n"/>
      <c r="D91" s="2197" t="n"/>
      <c r="E91" s="2198" t="n"/>
      <c r="F91" s="2195" t="n"/>
      <c r="G91" s="2232">
        <f>PL!D451+PL!D452+PL!D453</f>
        <v/>
      </c>
      <c r="H91" s="2232">
        <f>PL!H451+PL!H452+PL!H453</f>
        <v/>
      </c>
      <c r="I91" s="2232">
        <f>PL!L451+PL!L452+PL!L453</f>
        <v/>
      </c>
      <c r="J91" s="2195" t="n"/>
      <c r="K91" s="2196" t="n"/>
      <c r="L91" s="2197" t="n"/>
      <c r="M91" s="2198" t="n"/>
      <c r="N91" s="2187" t="n"/>
      <c r="O91" s="554" t="n"/>
    </row>
    <row r="92" spans="1:17">
      <c r="A92" s="2255" t="s">
        <v>89</v>
      </c>
      <c r="B92" s="2187" t="n"/>
      <c r="C92" s="2257">
        <f>PL!C454</f>
        <v/>
      </c>
      <c r="D92" s="2257">
        <f>PL!G454</f>
        <v/>
      </c>
      <c r="E92" s="2257">
        <f>PL!K454</f>
        <v/>
      </c>
      <c r="F92" s="2187" t="n"/>
      <c r="G92" s="2188" t="n"/>
      <c r="H92" s="2189" t="n"/>
      <c r="I92" s="2190" t="n"/>
      <c r="J92" s="2187" t="n"/>
      <c r="K92" s="2188" t="n"/>
      <c r="L92" s="2189" t="n"/>
      <c r="M92" s="2190" t="n"/>
      <c r="N92" s="2187" t="n"/>
      <c r="O92" s="2173" t="n"/>
    </row>
    <row r="93" spans="1:17">
      <c r="A93" s="2265">
        <f>A74</f>
        <v/>
      </c>
      <c r="B93" s="2187" t="n"/>
      <c r="C93" s="2188" t="n"/>
      <c r="D93" s="2189" t="n"/>
      <c r="E93" s="2190" t="n"/>
      <c r="F93" s="2187" t="n"/>
      <c r="G93" s="2188" t="n"/>
      <c r="H93" s="2189" t="n"/>
      <c r="I93" s="2190" t="n"/>
      <c r="J93" s="2187" t="n"/>
      <c r="K93" s="2188">
        <f>SUM(C82:C93)-SUM(G82:G93)</f>
        <v/>
      </c>
      <c r="L93" s="2189">
        <f>SUM(D82:D93)-SUM(H82:H93)</f>
        <v/>
      </c>
      <c r="M93" s="2190">
        <f>SUM(E82:E93)-SUM(I82:I93)</f>
        <v/>
      </c>
      <c r="N93" s="2187" t="n"/>
      <c r="O93" s="2173" t="n"/>
    </row>
    <row r="94" spans="1:17">
      <c r="A94" s="2204" t="s">
        <v>182</v>
      </c>
      <c r="B94" s="2187" t="n"/>
      <c r="C94" s="2205" t="n"/>
      <c r="D94" s="2206" t="n"/>
      <c r="E94" s="2207" t="n"/>
      <c r="F94" s="2187" t="n"/>
      <c r="G94" s="2205" t="n"/>
      <c r="H94" s="2206" t="n"/>
      <c r="I94" s="2207" t="n"/>
      <c r="J94" s="2187" t="n"/>
      <c r="K94" s="632">
        <f>K95/C95</f>
        <v/>
      </c>
      <c r="L94" s="633">
        <f>L95/D95</f>
        <v/>
      </c>
      <c r="M94" s="625">
        <f>M95/E95</f>
        <v/>
      </c>
      <c r="N94" s="2187" t="n"/>
      <c r="O94" s="2173" t="n"/>
    </row>
    <row customHeight="1" ht="18" r="95" s="1843" spans="1:17" thickBot="1">
      <c r="A95" s="2266" t="s">
        <v>173</v>
      </c>
      <c r="B95" s="2240" t="n"/>
      <c r="C95" s="2244">
        <f>SUM(C82:C93)</f>
        <v/>
      </c>
      <c r="D95" s="2245">
        <f>SUM(D82:D93)</f>
        <v/>
      </c>
      <c r="E95" s="2246">
        <f>SUM(E82:E93)</f>
        <v/>
      </c>
      <c r="F95" s="2240" t="n"/>
      <c r="G95" s="2244">
        <f>SUM(G82:G93)</f>
        <v/>
      </c>
      <c r="H95" s="2245">
        <f>SUM(H82:H93)</f>
        <v/>
      </c>
      <c r="I95" s="2246">
        <f>SUM(I82:I93)</f>
        <v/>
      </c>
      <c r="J95" s="2240" t="n"/>
      <c r="K95" s="2244">
        <f>SUM(K82:K93)</f>
        <v/>
      </c>
      <c r="L95" s="2245">
        <f>SUM(L82:L93)</f>
        <v/>
      </c>
      <c r="M95" s="2246">
        <f>SUM(M82:M93)</f>
        <v/>
      </c>
      <c r="N95" s="2240" t="n"/>
      <c r="O95" s="613" t="n"/>
    </row>
    <row customHeight="1" ht="18" r="97" s="1843" spans="1:17" thickBot="1"/>
    <row customHeight="1" ht="18" r="98" s="1843" spans="1:17">
      <c r="A98" s="2260" t="s">
        <v>180</v>
      </c>
      <c r="B98" s="2177" t="n"/>
      <c r="C98" s="2261">
        <f>$C$2</f>
        <v/>
      </c>
      <c r="D98" s="2262" t="n"/>
      <c r="E98" s="2263" t="n"/>
      <c r="F98" s="2264" t="n"/>
      <c r="G98" s="2261">
        <f>$G$2</f>
        <v/>
      </c>
      <c r="H98" s="2262" t="n"/>
      <c r="I98" s="2263" t="n"/>
      <c r="J98" s="2264" t="n"/>
      <c r="K98" s="2261">
        <f>$K$2</f>
        <v/>
      </c>
      <c r="L98" s="2262" t="n"/>
      <c r="M98" s="2263" t="n"/>
      <c r="N98" s="2177" t="n"/>
      <c r="O98" s="2216" t="n"/>
    </row>
    <row customHeight="1" ht="30.75" r="99" s="1843" spans="1:17">
      <c r="B99" s="2182" t="n"/>
      <c r="C99" s="2183" t="s">
        <v>62</v>
      </c>
      <c r="D99" s="2184" t="s">
        <v>63</v>
      </c>
      <c r="E99" s="2185" t="s">
        <v>64</v>
      </c>
      <c r="F99" s="2182" t="n"/>
      <c r="G99" s="2183">
        <f>C99</f>
        <v/>
      </c>
      <c r="H99" s="2184">
        <f>D99</f>
        <v/>
      </c>
      <c r="I99" s="2185">
        <f>E99</f>
        <v/>
      </c>
      <c r="J99" s="2182" t="n"/>
      <c r="K99" s="2183">
        <f>C99</f>
        <v/>
      </c>
      <c r="L99" s="2184">
        <f>D99</f>
        <v/>
      </c>
      <c r="M99" s="2185">
        <f>E99</f>
        <v/>
      </c>
      <c r="N99" s="2182" t="n"/>
      <c r="O99" s="2226" t="n"/>
    </row>
    <row r="100" spans="1:17">
      <c r="A100" s="2255" t="s">
        <v>156</v>
      </c>
      <c r="B100" s="2187" t="n"/>
      <c r="C100" s="2188" t="n"/>
      <c r="D100" s="2189" t="n"/>
      <c r="E100" s="2190" t="n"/>
      <c r="F100" s="2187" t="n"/>
      <c r="G100" s="2188">
        <f>PL!D316</f>
        <v/>
      </c>
      <c r="H100" s="2188">
        <f>PL!H316</f>
        <v/>
      </c>
      <c r="I100" s="2188">
        <f>PL!L316</f>
        <v/>
      </c>
      <c r="J100" s="2187" t="n"/>
      <c r="K100" s="2188" t="n"/>
      <c r="L100" s="2189" t="n"/>
      <c r="M100" s="2190" t="n"/>
      <c r="N100" s="2187" t="n"/>
      <c r="O100" s="554" t="n"/>
    </row>
    <row r="101" spans="1:17">
      <c r="A101" s="2255" t="s">
        <v>157</v>
      </c>
      <c r="B101" s="2187" t="n"/>
      <c r="C101" s="2188" t="n"/>
      <c r="D101" s="2189" t="n"/>
      <c r="E101" s="2190" t="n"/>
      <c r="F101" s="2187" t="n"/>
      <c r="G101" s="2188">
        <f>PL!D323</f>
        <v/>
      </c>
      <c r="H101" s="2188">
        <f>PL!H323</f>
        <v/>
      </c>
      <c r="I101" s="2188">
        <f>PL!L323</f>
        <v/>
      </c>
      <c r="J101" s="2187" t="n"/>
      <c r="K101" s="2188" t="n"/>
      <c r="L101" s="2189" t="n"/>
      <c r="M101" s="2190" t="n"/>
      <c r="N101" s="2187" t="n"/>
      <c r="O101" s="554" t="n"/>
    </row>
    <row r="102" spans="1:17">
      <c r="A102" s="2255" t="s">
        <v>158</v>
      </c>
      <c r="B102" s="2187" t="n"/>
      <c r="C102" s="2188" t="n"/>
      <c r="D102" s="2189" t="n"/>
      <c r="E102" s="2190" t="n"/>
      <c r="F102" s="2187" t="n"/>
      <c r="G102" s="2188">
        <f>PL!D319</f>
        <v/>
      </c>
      <c r="H102" s="2188">
        <f>PL!H319</f>
        <v/>
      </c>
      <c r="I102" s="2188">
        <f>PL!L319</f>
        <v/>
      </c>
      <c r="J102" s="2187" t="n"/>
      <c r="K102" s="2188" t="n"/>
      <c r="L102" s="2189" t="n"/>
      <c r="M102" s="2190" t="n"/>
      <c r="N102" s="2187" t="n"/>
      <c r="O102" s="554" t="n"/>
    </row>
    <row r="103" spans="1:17">
      <c r="A103" s="2255" t="s">
        <v>159</v>
      </c>
      <c r="B103" s="2187" t="n"/>
      <c r="C103" s="2188" t="n"/>
      <c r="D103" s="2189" t="n"/>
      <c r="E103" s="2190" t="n"/>
      <c r="F103" s="2187" t="n"/>
      <c r="G103" s="2188">
        <f>PL!D318</f>
        <v/>
      </c>
      <c r="H103" s="2188">
        <f>PL!H318</f>
        <v/>
      </c>
      <c r="I103" s="2188">
        <f>PL!L318</f>
        <v/>
      </c>
      <c r="J103" s="2187" t="n"/>
      <c r="K103" s="2188" t="n"/>
      <c r="L103" s="2189" t="n"/>
      <c r="M103" s="2190" t="n"/>
      <c r="N103" s="2187" t="n"/>
      <c r="O103" s="554" t="n"/>
    </row>
    <row r="104" spans="1:17">
      <c r="A104" s="2255" t="s">
        <v>160</v>
      </c>
      <c r="B104" s="2187" t="n"/>
      <c r="C104" s="2188" t="n"/>
      <c r="D104" s="2189" t="n"/>
      <c r="E104" s="2190" t="n"/>
      <c r="F104" s="2187" t="n"/>
      <c r="G104" s="2188">
        <f>PL!D327</f>
        <v/>
      </c>
      <c r="H104" s="2188">
        <f>PL!H327</f>
        <v/>
      </c>
      <c r="I104" s="2188">
        <f>PL!L327</f>
        <v/>
      </c>
      <c r="J104" s="2187" t="n"/>
      <c r="K104" s="2188" t="n"/>
      <c r="L104" s="2189" t="n"/>
      <c r="M104" s="2190" t="n"/>
      <c r="N104" s="2187" t="n"/>
      <c r="O104" s="554" t="n"/>
    </row>
    <row r="105" spans="1:17">
      <c r="A105" s="2255" t="s">
        <v>161</v>
      </c>
      <c r="B105" s="2187" t="n"/>
      <c r="C105" s="2188" t="n"/>
      <c r="D105" s="2189" t="n"/>
      <c r="E105" s="2190" t="n"/>
      <c r="F105" s="2187" t="n"/>
      <c r="G105" s="2188">
        <f>PL!D324</f>
        <v/>
      </c>
      <c r="H105" s="2188">
        <f>PL!H324</f>
        <v/>
      </c>
      <c r="I105" s="2188">
        <f>PL!L324</f>
        <v/>
      </c>
      <c r="J105" s="2187" t="n"/>
      <c r="K105" s="2188" t="n"/>
      <c r="L105" s="2189" t="n"/>
      <c r="M105" s="2190" t="n"/>
      <c r="N105" s="2187" t="n"/>
      <c r="O105" s="554" t="n"/>
    </row>
    <row r="106" spans="1:17">
      <c r="A106" s="2255" t="s">
        <v>162</v>
      </c>
      <c r="B106" s="2187" t="n"/>
      <c r="C106" s="2188" t="n"/>
      <c r="D106" s="2189" t="n"/>
      <c r="E106" s="2190" t="n"/>
      <c r="F106" s="2187" t="n"/>
      <c r="G106" s="2188">
        <f>PL!D325</f>
        <v/>
      </c>
      <c r="H106" s="2188">
        <f>PL!H325</f>
        <v/>
      </c>
      <c r="I106" s="2188">
        <f>PL!L325</f>
        <v/>
      </c>
      <c r="J106" s="2187" t="n"/>
      <c r="K106" s="2188" t="n"/>
      <c r="L106" s="2189" t="n"/>
      <c r="M106" s="2190" t="n"/>
      <c r="N106" s="2187" t="n"/>
      <c r="O106" s="554" t="n"/>
    </row>
    <row r="107" spans="1:17">
      <c r="A107" s="2255" t="s">
        <v>163</v>
      </c>
      <c r="B107" s="2187" t="n"/>
      <c r="C107" s="2188" t="n"/>
      <c r="D107" s="2189" t="n"/>
      <c r="E107" s="2229" t="n"/>
      <c r="F107" s="2187" t="n"/>
      <c r="G107" s="2188">
        <f>PL!D321</f>
        <v/>
      </c>
      <c r="H107" s="2188">
        <f>PL!H321</f>
        <v/>
      </c>
      <c r="I107" s="2188">
        <f>PL!L321</f>
        <v/>
      </c>
      <c r="J107" s="2187" t="n"/>
      <c r="K107" s="2188" t="n"/>
      <c r="L107" s="2189" t="n"/>
      <c r="M107" s="2229" t="n"/>
      <c r="N107" s="2187" t="n"/>
      <c r="O107" s="554" t="n"/>
    </row>
    <row r="108" spans="1:17">
      <c r="A108" s="2255" t="s">
        <v>164</v>
      </c>
      <c r="B108" s="2187" t="n"/>
      <c r="C108" s="2188" t="n"/>
      <c r="D108" s="2189" t="n"/>
      <c r="E108" s="2190" t="n"/>
      <c r="F108" s="2187" t="n"/>
      <c r="G108" s="2188">
        <f>PL!D317+PL!D320+PL!D322</f>
        <v/>
      </c>
      <c r="H108" s="2188">
        <f>PL!H317+PL!H320+PL!H322</f>
        <v/>
      </c>
      <c r="I108" s="2188">
        <f>PL!L317+PL!L320+PL!L322</f>
        <v/>
      </c>
      <c r="J108" s="2187" t="n"/>
      <c r="K108" s="2188" t="n"/>
      <c r="L108" s="2189" t="n"/>
      <c r="M108" s="2190" t="n"/>
      <c r="N108" s="2187" t="n"/>
      <c r="O108" s="554" t="n"/>
    </row>
    <row r="109" spans="1:17">
      <c r="A109" s="2256" t="s">
        <v>165</v>
      </c>
      <c r="B109" s="2195" t="n"/>
      <c r="C109" s="2196" t="n"/>
      <c r="D109" s="2197" t="n"/>
      <c r="E109" s="2198" t="n"/>
      <c r="F109" s="2195" t="n"/>
      <c r="G109" s="2232">
        <f>PL!D330+PL!D331+PL!D332</f>
        <v/>
      </c>
      <c r="H109" s="2232">
        <f>PL!H330+PL!H331+PL!H332</f>
        <v/>
      </c>
      <c r="I109" s="2232">
        <f>PL!L330+PL!L331+PL!L332</f>
        <v/>
      </c>
      <c r="J109" s="2195" t="n"/>
      <c r="K109" s="2196" t="n"/>
      <c r="L109" s="2197" t="n"/>
      <c r="M109" s="2198" t="n"/>
      <c r="N109" s="2187" t="n"/>
      <c r="O109" s="554" t="n"/>
    </row>
    <row r="110" spans="1:17">
      <c r="A110" s="2255" t="s">
        <v>89</v>
      </c>
      <c r="B110" s="2187" t="n"/>
      <c r="C110" s="2257">
        <f>PL!C333</f>
        <v/>
      </c>
      <c r="D110" s="2257">
        <f>PL!G333</f>
        <v/>
      </c>
      <c r="E110" s="2257">
        <f>PL!K333</f>
        <v/>
      </c>
      <c r="F110" s="2187" t="n"/>
      <c r="G110" s="2188" t="n"/>
      <c r="H110" s="2189" t="n"/>
      <c r="I110" s="2190" t="n"/>
      <c r="J110" s="2187" t="n"/>
      <c r="K110" s="2188" t="n"/>
      <c r="L110" s="2189" t="n"/>
      <c r="M110" s="2190" t="n"/>
      <c r="N110" s="2187" t="n"/>
      <c r="O110" s="2173" t="n"/>
    </row>
    <row r="111" spans="1:17">
      <c r="A111" s="2265">
        <f>A92</f>
        <v/>
      </c>
      <c r="B111" s="2187" t="n"/>
      <c r="C111" s="2188" t="n"/>
      <c r="D111" s="2189" t="n"/>
      <c r="E111" s="2190" t="n"/>
      <c r="F111" s="2187" t="n"/>
      <c r="G111" s="2188" t="n"/>
      <c r="H111" s="2189" t="n"/>
      <c r="I111" s="2190" t="n"/>
      <c r="J111" s="2187" t="n"/>
      <c r="K111" s="2188">
        <f>SUM(C100:C111)-SUM(G100:G111)</f>
        <v/>
      </c>
      <c r="L111" s="2189">
        <f>SUM(D100:D111)-SUM(H100:H111)</f>
        <v/>
      </c>
      <c r="M111" s="2190">
        <f>SUM(E100:E111)-SUM(I100:I111)</f>
        <v/>
      </c>
      <c r="N111" s="2187" t="n"/>
      <c r="O111" s="2173" t="n"/>
    </row>
    <row r="112" spans="1:17">
      <c r="A112" s="2204" t="s">
        <v>182</v>
      </c>
      <c r="B112" s="2187" t="n"/>
      <c r="C112" s="2205" t="n"/>
      <c r="D112" s="2206" t="n"/>
      <c r="E112" s="2207" t="n"/>
      <c r="F112" s="2187" t="n"/>
      <c r="G112" s="2205" t="n"/>
      <c r="H112" s="2206" t="n"/>
      <c r="I112" s="2207" t="n"/>
      <c r="J112" s="2187" t="n"/>
      <c r="K112" s="632">
        <f>K113/C113</f>
        <v/>
      </c>
      <c r="L112" s="633">
        <f>L113/D113</f>
        <v/>
      </c>
      <c r="M112" s="625">
        <f>M113/E113</f>
        <v/>
      </c>
      <c r="N112" s="2187" t="n"/>
      <c r="O112" s="2173" t="n"/>
    </row>
    <row customHeight="1" ht="18" r="113" s="1843" spans="1:17" thickBot="1">
      <c r="A113" s="2266" t="s">
        <v>173</v>
      </c>
      <c r="B113" s="2240" t="n"/>
      <c r="C113" s="2244">
        <f>SUM(C100:C111)</f>
        <v/>
      </c>
      <c r="D113" s="2245">
        <f>SUM(D100:D111)</f>
        <v/>
      </c>
      <c r="E113" s="2246">
        <f>SUM(E100:E111)</f>
        <v/>
      </c>
      <c r="F113" s="2240" t="n"/>
      <c r="G113" s="2244">
        <f>SUM(G100:G111)</f>
        <v/>
      </c>
      <c r="H113" s="2245">
        <f>SUM(H100:H111)</f>
        <v/>
      </c>
      <c r="I113" s="2246">
        <f>SUM(I100:I111)</f>
        <v/>
      </c>
      <c r="J113" s="2240" t="n"/>
      <c r="K113" s="2244">
        <f>SUM(K100:K111)</f>
        <v/>
      </c>
      <c r="L113" s="2245">
        <f>SUM(L100:L111)</f>
        <v/>
      </c>
      <c r="M113" s="2246">
        <f>SUM(M100:M111)</f>
        <v/>
      </c>
      <c r="N113" s="2240" t="n"/>
      <c r="O113" s="613" t="n"/>
    </row>
  </sheetData>
  <mergeCells count="6">
    <mergeCell ref="A80:A81"/>
    <mergeCell ref="A98:A99"/>
    <mergeCell ref="A2:A3"/>
    <mergeCell ref="A22:A23"/>
    <mergeCell ref="A43:A44"/>
    <mergeCell ref="A62:A63"/>
  </mergeCells>
  <pageMargins bottom="1" footer="0.5" header="0.5" left="0.75" right="0.75" top="1"/>
  <pageSetup orientation="portrait" scale="7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theme="9" tint="-0.499984740745262"/>
    <outlinePr summaryBelow="1" summaryRight="1"/>
    <pageSetUpPr/>
  </sheetPr>
  <dimension ref="A1:AR215"/>
  <sheetViews>
    <sheetView workbookViewId="0" zoomScale="85" zoomScaleNormal="85">
      <pane activePane="topRight" state="frozen" topLeftCell="B1" xSplit="1"/>
      <selection activeCell="A2" sqref="A2:A20"/>
      <selection activeCell="A1" pane="topRight" sqref="A1"/>
    </sheetView>
  </sheetViews>
  <sheetFormatPr baseColWidth="8" defaultColWidth="9" defaultRowHeight="17.25" outlineLevelCol="0"/>
  <cols>
    <col bestFit="1" customWidth="1" max="1" min="1" style="2125" width="14.875"/>
    <col customWidth="1" max="2" min="2" style="2125" width="0.875"/>
    <col customWidth="1" max="14" min="3" style="2125" width="5.625"/>
    <col customWidth="1" max="15" min="15" style="2125" width="0.875"/>
    <col customWidth="1" max="27" min="16" style="2125" width="5.625"/>
    <col customWidth="1" max="28" min="28" style="2125" width="0.75"/>
    <col customWidth="1" max="40" min="29" style="2125" width="6.625"/>
    <col customWidth="1" max="41" min="41" style="2125" width="0.75"/>
    <col customWidth="1" max="42" min="42" style="2173" width="10.875"/>
    <col bestFit="1" customWidth="1" max="43" min="43" style="2173" width="15.375"/>
    <col customWidth="1" max="16384" min="44" style="2173" width="9"/>
  </cols>
  <sheetData>
    <row customFormat="1" customHeight="1" ht="9.75" r="1" s="2174" spans="1:44" thickBot="1">
      <c r="A1" s="2175" t="n"/>
      <c r="B1" s="534" t="n"/>
      <c r="C1" s="2127" t="n"/>
      <c r="D1" s="2127" t="n"/>
      <c r="E1" s="2268" t="n"/>
      <c r="F1" s="2268" t="n"/>
      <c r="G1" s="2268" t="n"/>
      <c r="H1" s="2268" t="n"/>
      <c r="I1" s="2268" t="n"/>
      <c r="J1" s="2268" t="n"/>
      <c r="K1" s="2268" t="n"/>
      <c r="L1" s="2268" t="n"/>
      <c r="M1" s="2268" t="n"/>
      <c r="N1" s="2268" t="n"/>
      <c r="O1" s="534" t="n"/>
      <c r="P1" s="536" t="n"/>
      <c r="Q1" s="536" t="n"/>
      <c r="R1" s="536" t="n"/>
      <c r="S1" s="695" t="n"/>
      <c r="T1" s="695" t="n"/>
      <c r="U1" s="695" t="n"/>
      <c r="V1" s="695" t="n"/>
      <c r="W1" s="695" t="n"/>
      <c r="X1" s="695" t="n"/>
      <c r="Y1" s="695" t="n"/>
      <c r="Z1" s="695" t="n"/>
      <c r="AA1" s="695" t="n"/>
      <c r="AB1" s="534" t="n"/>
      <c r="AC1" s="534" t="n"/>
      <c r="AD1" s="534" t="n"/>
      <c r="AE1" s="534" t="n"/>
      <c r="AF1" s="534" t="n"/>
      <c r="AG1" s="534" t="n"/>
      <c r="AH1" s="534" t="n"/>
      <c r="AI1" s="534" t="n"/>
      <c r="AJ1" s="534" t="n"/>
      <c r="AK1" s="534" t="n"/>
      <c r="AL1" s="534" t="n"/>
      <c r="AM1" s="534" t="n"/>
      <c r="AN1" s="534" t="n"/>
      <c r="AO1" s="534" t="n"/>
    </row>
    <row customFormat="1" customHeight="1" ht="18" r="2" s="2173" spans="1:44" thickBot="1">
      <c r="A2" s="2176" t="s">
        <v>181</v>
      </c>
      <c r="B2" s="2177" t="n"/>
      <c r="C2" s="2269" t="s">
        <v>89</v>
      </c>
      <c r="E2" s="2270" t="n"/>
      <c r="F2" s="2271" t="n"/>
      <c r="G2" s="2270" t="n"/>
      <c r="H2" s="2272" t="n"/>
      <c r="I2" s="2270" t="n"/>
      <c r="J2" s="2271" t="n"/>
      <c r="K2" s="2273" t="n"/>
      <c r="L2" s="2270" t="n"/>
      <c r="M2" s="2271" t="n"/>
      <c r="N2" s="2180" t="n"/>
      <c r="O2" s="2181" t="n"/>
      <c r="P2" s="2178" t="s">
        <v>152</v>
      </c>
      <c r="Q2" s="2179" t="n"/>
      <c r="R2" s="2274" t="n"/>
      <c r="S2" s="2275" t="n"/>
      <c r="T2" s="2270" t="n"/>
      <c r="U2" s="2270" t="n"/>
      <c r="V2" s="2270" t="n"/>
      <c r="W2" s="2270" t="n"/>
      <c r="X2" s="2270" t="n"/>
      <c r="Y2" s="2270" t="n"/>
      <c r="Z2" s="2270" t="n"/>
      <c r="AA2" s="2276" t="n"/>
      <c r="AB2" s="2181" t="n"/>
      <c r="AC2" s="2178" t="s">
        <v>153</v>
      </c>
      <c r="AD2" s="2179" t="n"/>
      <c r="AE2" s="2275" t="n"/>
      <c r="AF2" s="2277" t="n"/>
      <c r="AG2" s="2278" t="n"/>
      <c r="AH2" s="2278" t="n"/>
      <c r="AI2" s="2278" t="n"/>
      <c r="AJ2" s="2278" t="n"/>
      <c r="AK2" s="2278" t="n"/>
      <c r="AL2" s="2278" t="n"/>
      <c r="AM2" s="2278" t="n"/>
      <c r="AN2" s="2279" t="n"/>
      <c r="AO2" s="2280" t="n"/>
    </row>
    <row customFormat="1" customHeight="1" ht="30.75" r="3" s="2173" spans="1:44">
      <c r="B3" s="2182" t="n"/>
      <c r="C3" s="2183" t="s">
        <v>62</v>
      </c>
      <c r="D3" s="2184" t="s">
        <v>63</v>
      </c>
      <c r="E3" s="2281" t="s">
        <v>64</v>
      </c>
      <c r="F3" s="2282" t="s">
        <v>174</v>
      </c>
      <c r="G3" s="2184" t="s">
        <v>66</v>
      </c>
      <c r="H3" s="2281" t="s">
        <v>67</v>
      </c>
      <c r="I3" s="2282" t="s">
        <v>69</v>
      </c>
      <c r="J3" s="2184" t="s">
        <v>70</v>
      </c>
      <c r="K3" s="2281" t="s">
        <v>71</v>
      </c>
      <c r="L3" s="2283" t="s">
        <v>72</v>
      </c>
      <c r="M3" s="2184" t="s">
        <v>73</v>
      </c>
      <c r="N3" s="2284" t="s">
        <v>74</v>
      </c>
      <c r="O3" s="2182" t="n"/>
      <c r="P3" s="2183" t="s">
        <v>62</v>
      </c>
      <c r="Q3" s="2184" t="s">
        <v>63</v>
      </c>
      <c r="R3" s="2281" t="s">
        <v>64</v>
      </c>
      <c r="S3" s="2282" t="s">
        <v>174</v>
      </c>
      <c r="T3" s="2184" t="s">
        <v>66</v>
      </c>
      <c r="U3" s="2281" t="s">
        <v>67</v>
      </c>
      <c r="V3" s="2282" t="s">
        <v>69</v>
      </c>
      <c r="W3" s="2184" t="s">
        <v>70</v>
      </c>
      <c r="X3" s="2281" t="s">
        <v>71</v>
      </c>
      <c r="Y3" s="2283" t="s">
        <v>72</v>
      </c>
      <c r="Z3" s="2184" t="s">
        <v>73</v>
      </c>
      <c r="AA3" s="2284" t="s">
        <v>74</v>
      </c>
      <c r="AB3" s="2182" t="n"/>
      <c r="AC3" s="2183" t="s">
        <v>62</v>
      </c>
      <c r="AD3" s="2184" t="s">
        <v>63</v>
      </c>
      <c r="AE3" s="2281" t="s">
        <v>64</v>
      </c>
      <c r="AF3" s="2282" t="s">
        <v>174</v>
      </c>
      <c r="AG3" s="2184" t="s">
        <v>66</v>
      </c>
      <c r="AH3" s="2281" t="s">
        <v>67</v>
      </c>
      <c r="AI3" s="2282" t="s">
        <v>69</v>
      </c>
      <c r="AJ3" s="2184" t="s">
        <v>70</v>
      </c>
      <c r="AK3" s="2281" t="s">
        <v>71</v>
      </c>
      <c r="AL3" s="2283" t="s">
        <v>72</v>
      </c>
      <c r="AM3" s="2184" t="s">
        <v>73</v>
      </c>
      <c r="AN3" s="2284" t="s">
        <v>74</v>
      </c>
      <c r="AO3" s="2285" t="n"/>
    </row>
    <row customFormat="1" r="4" s="2173" spans="1:44">
      <c r="A4" s="2186" t="s">
        <v>156</v>
      </c>
      <c r="B4" s="2187" t="n"/>
      <c r="C4" s="2188" t="n"/>
      <c r="D4" s="2189" t="n"/>
      <c r="E4" s="2189" t="n"/>
      <c r="F4" s="2286" t="n"/>
      <c r="G4" s="2189" t="n"/>
      <c r="H4" s="2189" t="n"/>
      <c r="I4" s="2206" t="n"/>
      <c r="J4" s="2206" t="n"/>
      <c r="K4" s="2287" t="n"/>
      <c r="L4" s="2287" t="n"/>
      <c r="M4" s="2287" t="n"/>
      <c r="N4" s="2288" t="n"/>
      <c r="O4" s="2187" t="n"/>
      <c r="P4" s="2191">
        <f>P42+P81+P123+P161+P202</f>
        <v/>
      </c>
      <c r="Q4" s="2192">
        <f>Q42+Q81+Q123+Q161+Q202</f>
        <v/>
      </c>
      <c r="R4" s="2192">
        <f>R42+R81+R123+R161+R202</f>
        <v/>
      </c>
      <c r="S4" s="2192">
        <f>S42+S81+S123+S161+S202</f>
        <v/>
      </c>
      <c r="T4" s="2192">
        <f>T42+T81+T123+T161+T202</f>
        <v/>
      </c>
      <c r="U4" s="2192">
        <f>U42+U81+U123+U161+U202</f>
        <v/>
      </c>
      <c r="V4" s="2192">
        <f>V42+V81+V123+V161+V202</f>
        <v/>
      </c>
      <c r="W4" s="2192">
        <f>W42+W81+W123+W161+W202</f>
        <v/>
      </c>
      <c r="X4" s="2192">
        <f>X42+X81+X123+X161+X202</f>
        <v/>
      </c>
      <c r="Y4" s="2192">
        <f>Y42+Y81+Y123+Y161+Y202</f>
        <v/>
      </c>
      <c r="Z4" s="2192">
        <f>Z42+Z81+Z123+Z161+Z202</f>
        <v/>
      </c>
      <c r="AA4" s="2145">
        <f>AA42+AA81+AA123+AA161+AA202</f>
        <v/>
      </c>
      <c r="AB4" s="2187" t="n"/>
      <c r="AC4" s="2188" t="n"/>
      <c r="AD4" s="2189" t="n"/>
      <c r="AE4" s="2189" t="n"/>
      <c r="AF4" s="2287" t="n"/>
      <c r="AG4" s="2287" t="n"/>
      <c r="AH4" s="2287" t="n"/>
      <c r="AI4" s="2287" t="n"/>
      <c r="AJ4" s="2287" t="n"/>
      <c r="AK4" s="2287" t="n"/>
      <c r="AL4" s="2287" t="n"/>
      <c r="AM4" s="2287" t="n"/>
      <c r="AN4" s="2289" t="n"/>
      <c r="AO4" s="2288" t="n"/>
      <c r="AP4" s="554">
        <f>(R4-Q4)/Q4</f>
        <v/>
      </c>
    </row>
    <row customFormat="1" r="5" s="2173" spans="1:44">
      <c r="A5" s="2186" t="s">
        <v>157</v>
      </c>
      <c r="B5" s="2187" t="n"/>
      <c r="C5" s="2188" t="n"/>
      <c r="D5" s="2189" t="n"/>
      <c r="E5" s="2189" t="n"/>
      <c r="F5" s="2286" t="n"/>
      <c r="G5" s="2189" t="n"/>
      <c r="H5" s="2189" t="n"/>
      <c r="I5" s="2189" t="n"/>
      <c r="J5" s="2189" t="n"/>
      <c r="K5" s="2189" t="n"/>
      <c r="L5" s="2189" t="n"/>
      <c r="M5" s="2189" t="n"/>
      <c r="N5" s="2190" t="n"/>
      <c r="O5" s="2288" t="n"/>
      <c r="P5" s="2191">
        <f>P43+P82+P124+P162+P203</f>
        <v/>
      </c>
      <c r="Q5" s="2192">
        <f>Q43+Q82+Q124+Q162+Q203</f>
        <v/>
      </c>
      <c r="R5" s="2192">
        <f>R43+R82+R124+R162+R203</f>
        <v/>
      </c>
      <c r="S5" s="2192">
        <f>S43+S82+S124+S162+S203</f>
        <v/>
      </c>
      <c r="T5" s="2192">
        <f>T43+T82+T124+T162+T203</f>
        <v/>
      </c>
      <c r="U5" s="2192">
        <f>U43+U82+U124+U162+U203</f>
        <v/>
      </c>
      <c r="V5" s="2192">
        <f>V43+V82+V124+V162+V203</f>
        <v/>
      </c>
      <c r="W5" s="2192">
        <f>W43+W82+W124+W162+W203</f>
        <v/>
      </c>
      <c r="X5" s="2192">
        <f>X43+X82+X124+X162+X203</f>
        <v/>
      </c>
      <c r="Y5" s="2192">
        <f>Y43+Y82+Y124+Y162+Y203</f>
        <v/>
      </c>
      <c r="Z5" s="2192">
        <f>Z43+Z82+Z124+Z162+Z203</f>
        <v/>
      </c>
      <c r="AA5" s="2145">
        <f>AA43+AA82+AA124+AA162+AA203</f>
        <v/>
      </c>
      <c r="AB5" s="2187" t="n"/>
      <c r="AC5" s="2188" t="n"/>
      <c r="AD5" s="2189" t="n"/>
      <c r="AE5" s="2189" t="n"/>
      <c r="AF5" s="2189" t="n"/>
      <c r="AG5" s="2189" t="n"/>
      <c r="AH5" s="2189" t="n"/>
      <c r="AI5" s="2189" t="n"/>
      <c r="AJ5" s="2189" t="n"/>
      <c r="AK5" s="2189" t="n"/>
      <c r="AL5" s="2189" t="n"/>
      <c r="AM5" s="2189" t="n"/>
      <c r="AN5" s="2190" t="n"/>
      <c r="AO5" s="2288" t="n"/>
      <c r="AP5" s="554">
        <f>(R5-Q5)/Q5</f>
        <v/>
      </c>
    </row>
    <row customFormat="1" r="6" s="2173" spans="1:44">
      <c r="A6" s="2186" t="s">
        <v>158</v>
      </c>
      <c r="B6" s="2187" t="n"/>
      <c r="C6" s="2188" t="n"/>
      <c r="D6" s="2189" t="n"/>
      <c r="E6" s="2189" t="n"/>
      <c r="F6" s="2286" t="n"/>
      <c r="G6" s="2189" t="n"/>
      <c r="H6" s="2189" t="n"/>
      <c r="I6" s="2287" t="n"/>
      <c r="J6" s="2287" t="n"/>
      <c r="K6" s="2287" t="n"/>
      <c r="L6" s="2287" t="n"/>
      <c r="M6" s="2287" t="n"/>
      <c r="N6" s="2289" t="n"/>
      <c r="O6" s="2288" t="n"/>
      <c r="P6" s="2191">
        <f>P44+P83+P125+P163+P204</f>
        <v/>
      </c>
      <c r="Q6" s="2192">
        <f>Q44+Q83+Q125+Q163+Q204</f>
        <v/>
      </c>
      <c r="R6" s="2192">
        <f>R44+R83+R125+R163+R204</f>
        <v/>
      </c>
      <c r="S6" s="2192">
        <f>S44+S83+S125+S163+S204</f>
        <v/>
      </c>
      <c r="T6" s="2192">
        <f>T44+T83+T125+T163+T204</f>
        <v/>
      </c>
      <c r="U6" s="2192">
        <f>U44+U83+U125+U163+U204</f>
        <v/>
      </c>
      <c r="V6" s="2192">
        <f>V44+V83+V125+V163+V204</f>
        <v/>
      </c>
      <c r="W6" s="2192">
        <f>W44+W83+W125+W163+W204</f>
        <v/>
      </c>
      <c r="X6" s="2192">
        <f>X44+X83+X125+X163+X204</f>
        <v/>
      </c>
      <c r="Y6" s="2192">
        <f>Y44+Y83+Y125+Y163+Y204</f>
        <v/>
      </c>
      <c r="Z6" s="2192">
        <f>Z44+Z83+Z125+Z163+Z204</f>
        <v/>
      </c>
      <c r="AA6" s="2145">
        <f>AA44+AA83+AA125+AA163+AA204</f>
        <v/>
      </c>
      <c r="AB6" s="2187" t="n"/>
      <c r="AC6" s="2188" t="n"/>
      <c r="AD6" s="2189" t="n"/>
      <c r="AE6" s="2189" t="n"/>
      <c r="AF6" s="2287" t="n"/>
      <c r="AG6" s="2287" t="n"/>
      <c r="AH6" s="2287" t="n"/>
      <c r="AI6" s="2287" t="n"/>
      <c r="AJ6" s="2287" t="n"/>
      <c r="AK6" s="2287" t="n"/>
      <c r="AL6" s="2287" t="n"/>
      <c r="AM6" s="2287" t="n"/>
      <c r="AN6" s="2289" t="n"/>
      <c r="AO6" s="2288" t="n"/>
      <c r="AP6" s="554">
        <f>(R6-Q6)/Q6</f>
        <v/>
      </c>
    </row>
    <row customFormat="1" r="7" s="2173" spans="1:44">
      <c r="A7" s="2186" t="s">
        <v>159</v>
      </c>
      <c r="B7" s="2187" t="n"/>
      <c r="C7" s="2188" t="n"/>
      <c r="D7" s="2189" t="n"/>
      <c r="E7" s="2189" t="n"/>
      <c r="F7" s="2286" t="n"/>
      <c r="G7" s="2189" t="n"/>
      <c r="H7" s="2189" t="n"/>
      <c r="I7" s="2189" t="n"/>
      <c r="J7" s="2189" t="n"/>
      <c r="K7" s="2189" t="n"/>
      <c r="L7" s="2189" t="n"/>
      <c r="M7" s="2189" t="n"/>
      <c r="N7" s="2190" t="n"/>
      <c r="O7" s="2288" t="n"/>
      <c r="P7" s="2191">
        <f>P45+P84+P126+P164+P205</f>
        <v/>
      </c>
      <c r="Q7" s="2192">
        <f>Q45+Q84+Q126+Q164+Q205</f>
        <v/>
      </c>
      <c r="R7" s="2192">
        <f>R45+R84+R126+R164+R205</f>
        <v/>
      </c>
      <c r="S7" s="2192">
        <f>S45+S84+S126+S164+S205</f>
        <v/>
      </c>
      <c r="T7" s="2192">
        <f>T45+T84+T126+T164+T205</f>
        <v/>
      </c>
      <c r="U7" s="2192">
        <f>U45+U84+U126+U164+U205</f>
        <v/>
      </c>
      <c r="V7" s="2192">
        <f>V45+V84+V126+V164+V205</f>
        <v/>
      </c>
      <c r="W7" s="2192">
        <f>W45+W84+W126+W164+W205</f>
        <v/>
      </c>
      <c r="X7" s="2192">
        <f>X45+X84+X126+X164+X205</f>
        <v/>
      </c>
      <c r="Y7" s="2192">
        <f>Y45+Y84+Y126+Y164+Y205</f>
        <v/>
      </c>
      <c r="Z7" s="2192">
        <f>Z45+Z84+Z126+Z164+Z205</f>
        <v/>
      </c>
      <c r="AA7" s="2145">
        <f>AA45+AA84+AA126+AA164+AA205</f>
        <v/>
      </c>
      <c r="AB7" s="2187" t="n"/>
      <c r="AC7" s="2188" t="n"/>
      <c r="AD7" s="2189" t="n"/>
      <c r="AE7" s="2189" t="n"/>
      <c r="AF7" s="2189" t="n"/>
      <c r="AG7" s="2189" t="n"/>
      <c r="AH7" s="2189" t="n"/>
      <c r="AI7" s="2189" t="n"/>
      <c r="AJ7" s="2189" t="n"/>
      <c r="AK7" s="2189" t="n"/>
      <c r="AL7" s="2189" t="n"/>
      <c r="AM7" s="2189" t="n"/>
      <c r="AN7" s="2190" t="n"/>
      <c r="AO7" s="2288" t="n"/>
      <c r="AP7" s="554">
        <f>(R7-Q7)/Q7</f>
        <v/>
      </c>
    </row>
    <row customFormat="1" r="8" s="2173" spans="1:44">
      <c r="A8" s="2186" t="s">
        <v>160</v>
      </c>
      <c r="B8" s="2187" t="n"/>
      <c r="C8" s="2188" t="n"/>
      <c r="D8" s="2189" t="n"/>
      <c r="E8" s="2189" t="n"/>
      <c r="F8" s="2286" t="n"/>
      <c r="G8" s="2189" t="n"/>
      <c r="H8" s="2189" t="n"/>
      <c r="I8" s="2287" t="n"/>
      <c r="J8" s="2287" t="n"/>
      <c r="K8" s="2287" t="n"/>
      <c r="L8" s="2287" t="n"/>
      <c r="M8" s="2287" t="n"/>
      <c r="N8" s="2289" t="n"/>
      <c r="O8" s="2288" t="n"/>
      <c r="P8" s="2191">
        <f>P46+P85+P127+P165+P206</f>
        <v/>
      </c>
      <c r="Q8" s="2192">
        <f>Q46+Q85+Q127+Q165+Q206</f>
        <v/>
      </c>
      <c r="R8" s="2192">
        <f>R46+R85+R127+R165+R206</f>
        <v/>
      </c>
      <c r="S8" s="2192">
        <f>S46+S85+S127+S165+S206</f>
        <v/>
      </c>
      <c r="T8" s="2192">
        <f>T46+T85+T127+T165+T206</f>
        <v/>
      </c>
      <c r="U8" s="2192">
        <f>U46+U85+U127+U165+U206</f>
        <v/>
      </c>
      <c r="V8" s="2192">
        <f>V46+V85+V127+V165+V206</f>
        <v/>
      </c>
      <c r="W8" s="2192">
        <f>W46+W85+W127+W165+W206</f>
        <v/>
      </c>
      <c r="X8" s="2192">
        <f>X46+X85+X127+X165+X206</f>
        <v/>
      </c>
      <c r="Y8" s="2192">
        <f>Y46+Y85+Y127+Y165+Y206</f>
        <v/>
      </c>
      <c r="Z8" s="2192">
        <f>Z46+Z85+Z127+Z165+Z206</f>
        <v/>
      </c>
      <c r="AA8" s="2145">
        <f>AA46+AA85+AA127+AA165+AA206</f>
        <v/>
      </c>
      <c r="AB8" s="2187" t="n"/>
      <c r="AC8" s="2188" t="n"/>
      <c r="AD8" s="2189" t="n"/>
      <c r="AE8" s="2189" t="n"/>
      <c r="AF8" s="2287" t="n"/>
      <c r="AG8" s="2287" t="n"/>
      <c r="AH8" s="2287" t="n"/>
      <c r="AI8" s="2287" t="n"/>
      <c r="AJ8" s="2287" t="n"/>
      <c r="AK8" s="2287" t="n"/>
      <c r="AL8" s="2287" t="n"/>
      <c r="AM8" s="2287" t="n"/>
      <c r="AN8" s="2289" t="n"/>
      <c r="AO8" s="2288" t="n"/>
      <c r="AP8" s="554">
        <f>(R8-Q8)/Q8</f>
        <v/>
      </c>
    </row>
    <row customFormat="1" r="9" s="2173" spans="1:44">
      <c r="A9" s="2186" t="s">
        <v>161</v>
      </c>
      <c r="B9" s="2187" t="n"/>
      <c r="C9" s="2188" t="n"/>
      <c r="D9" s="2189" t="n"/>
      <c r="E9" s="2189" t="n"/>
      <c r="F9" s="2286" t="n"/>
      <c r="G9" s="2189" t="n"/>
      <c r="H9" s="2189" t="n"/>
      <c r="I9" s="2189" t="n"/>
      <c r="J9" s="2189" t="n"/>
      <c r="K9" s="2189" t="n"/>
      <c r="L9" s="2189" t="n"/>
      <c r="M9" s="2189" t="n"/>
      <c r="N9" s="2190" t="n"/>
      <c r="O9" s="2288" t="n"/>
      <c r="P9" s="2191">
        <f>P47+P86+P128+P166+P207</f>
        <v/>
      </c>
      <c r="Q9" s="2192">
        <f>Q47+Q86+Q128+Q166+Q207</f>
        <v/>
      </c>
      <c r="R9" s="2192">
        <f>R47+R86+R128+R166+R207</f>
        <v/>
      </c>
      <c r="S9" s="2192">
        <f>S47+S86+S128+S166+S207</f>
        <v/>
      </c>
      <c r="T9" s="2192">
        <f>T47+T86+T128+T166+T207</f>
        <v/>
      </c>
      <c r="U9" s="2192">
        <f>U47+U86+U128+U166+U207</f>
        <v/>
      </c>
      <c r="V9" s="2192">
        <f>V47+V86+V128+V166+V207</f>
        <v/>
      </c>
      <c r="W9" s="2192">
        <f>W47+W86+W128+W166+W207</f>
        <v/>
      </c>
      <c r="X9" s="2192">
        <f>X47+X86+X128+X166+X207</f>
        <v/>
      </c>
      <c r="Y9" s="2192">
        <f>Y47+Y86+Y128+Y166+Y207</f>
        <v/>
      </c>
      <c r="Z9" s="2192">
        <f>Z47+Z86+Z128+Z166+Z207</f>
        <v/>
      </c>
      <c r="AA9" s="2145">
        <f>AA47+AA86+AA128+AA166+AA207</f>
        <v/>
      </c>
      <c r="AB9" s="2187" t="n"/>
      <c r="AC9" s="2188" t="n"/>
      <c r="AD9" s="2189" t="n"/>
      <c r="AE9" s="2189" t="n"/>
      <c r="AF9" s="2189" t="n"/>
      <c r="AG9" s="2189" t="n"/>
      <c r="AH9" s="2189" t="n"/>
      <c r="AI9" s="2189" t="n"/>
      <c r="AJ9" s="2189" t="n"/>
      <c r="AK9" s="2189" t="n"/>
      <c r="AL9" s="2189" t="n"/>
      <c r="AM9" s="2189" t="n"/>
      <c r="AN9" s="2190" t="n"/>
      <c r="AO9" s="2288" t="n"/>
      <c r="AP9" s="554">
        <f>(R9-Q9)/Q9</f>
        <v/>
      </c>
    </row>
    <row customFormat="1" r="10" s="2173" spans="1:44">
      <c r="A10" s="2186" t="s">
        <v>162</v>
      </c>
      <c r="B10" s="2187" t="n"/>
      <c r="C10" s="2188" t="n"/>
      <c r="D10" s="2189" t="n"/>
      <c r="E10" s="2189" t="n"/>
      <c r="F10" s="2286" t="n"/>
      <c r="G10" s="2189" t="n"/>
      <c r="H10" s="2189" t="n"/>
      <c r="I10" s="2287" t="n"/>
      <c r="J10" s="2287" t="n"/>
      <c r="K10" s="2287" t="n"/>
      <c r="L10" s="2287" t="n"/>
      <c r="M10" s="2287" t="n"/>
      <c r="N10" s="2190" t="n"/>
      <c r="O10" s="2288" t="n"/>
      <c r="P10" s="2191">
        <f>P48+P87+P129+P167+P208</f>
        <v/>
      </c>
      <c r="Q10" s="2192">
        <f>Q48+Q87+Q129+Q167+Q208</f>
        <v/>
      </c>
      <c r="R10" s="2192">
        <f>R48+R87+R129+R167+R208</f>
        <v/>
      </c>
      <c r="S10" s="2192">
        <f>S48+S87+S129+S167+S208</f>
        <v/>
      </c>
      <c r="T10" s="2192">
        <f>T48+T87+T129+T167+T208</f>
        <v/>
      </c>
      <c r="U10" s="2192">
        <f>U48+U87+U129+U167+U208</f>
        <v/>
      </c>
      <c r="V10" s="2192">
        <f>V48+V87+V129+V167+V208</f>
        <v/>
      </c>
      <c r="W10" s="2192">
        <f>W48+W87+W129+W167+W208</f>
        <v/>
      </c>
      <c r="X10" s="2192">
        <f>X48+X87+X129+X167+X208</f>
        <v/>
      </c>
      <c r="Y10" s="2192">
        <f>Y48+Y87+Y129+Y167+Y208</f>
        <v/>
      </c>
      <c r="Z10" s="2192">
        <f>Z48+Z87+Z129+Z167+Z208</f>
        <v/>
      </c>
      <c r="AA10" s="2145">
        <f>AA48+AA87+AA129+AA167+AA208</f>
        <v/>
      </c>
      <c r="AB10" s="2187" t="n"/>
      <c r="AC10" s="2188" t="n"/>
      <c r="AD10" s="2189" t="n"/>
      <c r="AE10" s="2189" t="n"/>
      <c r="AF10" s="2287" t="n"/>
      <c r="AG10" s="2287" t="n"/>
      <c r="AH10" s="2287" t="n"/>
      <c r="AI10" s="2287" t="n"/>
      <c r="AJ10" s="2287" t="n"/>
      <c r="AK10" s="2287" t="n"/>
      <c r="AL10" s="2287" t="n"/>
      <c r="AM10" s="2287" t="n"/>
      <c r="AN10" s="2289" t="n"/>
      <c r="AO10" s="2288" t="n"/>
      <c r="AP10" s="554">
        <f>(R10-Q10)/Q10</f>
        <v/>
      </c>
    </row>
    <row customFormat="1" r="11" s="2173" spans="1:44">
      <c r="A11" s="2186" t="s">
        <v>163</v>
      </c>
      <c r="B11" s="2187" t="n"/>
      <c r="C11" s="2188" t="n"/>
      <c r="D11" s="2189" t="n"/>
      <c r="E11" s="2189" t="n"/>
      <c r="F11" s="2286" t="n"/>
      <c r="G11" s="2189" t="n"/>
      <c r="H11" s="2189" t="n"/>
      <c r="I11" s="2189" t="n"/>
      <c r="J11" s="2189" t="n"/>
      <c r="K11" s="2189" t="n"/>
      <c r="L11" s="2189" t="n"/>
      <c r="M11" s="2189" t="n"/>
      <c r="N11" s="2190" t="n"/>
      <c r="O11" s="2288" t="n"/>
      <c r="P11" s="2191">
        <f>P49+P88+P130+P168+P209</f>
        <v/>
      </c>
      <c r="Q11" s="2192">
        <f>Q49+Q88+Q130+Q168+Q209</f>
        <v/>
      </c>
      <c r="R11" s="2192">
        <f>R49+R88+R130+R168+R209</f>
        <v/>
      </c>
      <c r="S11" s="2192">
        <f>S49+S88+S130+S168+S209</f>
        <v/>
      </c>
      <c r="T11" s="2192">
        <f>T49+T88+T130+T168+T209</f>
        <v/>
      </c>
      <c r="U11" s="2192">
        <f>U49+U88+U130+U168+U209</f>
        <v/>
      </c>
      <c r="V11" s="2192">
        <f>V49+V88+V130+V168+V209</f>
        <v/>
      </c>
      <c r="W11" s="2192">
        <f>W49+W88+W130+W168+W209</f>
        <v/>
      </c>
      <c r="X11" s="2192">
        <f>X49+X88+X130+X168+X209</f>
        <v/>
      </c>
      <c r="Y11" s="2192">
        <f>Y49+Y88+Y130+Y168+Y209</f>
        <v/>
      </c>
      <c r="Z11" s="2192">
        <f>Z49+Z88+Z130+Z168+Z209</f>
        <v/>
      </c>
      <c r="AA11" s="2145">
        <f>AA49+AA88+AA130+AA168+AA209</f>
        <v/>
      </c>
      <c r="AB11" s="2187" t="n"/>
      <c r="AC11" s="2188" t="n"/>
      <c r="AD11" s="2189" t="n"/>
      <c r="AE11" s="2189" t="n"/>
      <c r="AF11" s="2189" t="n"/>
      <c r="AG11" s="2189" t="n"/>
      <c r="AH11" s="2189" t="n"/>
      <c r="AI11" s="2189" t="n"/>
      <c r="AJ11" s="2189" t="n"/>
      <c r="AK11" s="2189" t="n"/>
      <c r="AL11" s="2189" t="n"/>
      <c r="AM11" s="2189" t="n"/>
      <c r="AN11" s="2190" t="n"/>
      <c r="AO11" s="2288" t="n"/>
      <c r="AP11" s="554">
        <f>(R11-Q11)/Q11</f>
        <v/>
      </c>
    </row>
    <row customFormat="1" r="12" s="2173" spans="1:44">
      <c r="A12" s="2186" t="s">
        <v>164</v>
      </c>
      <c r="B12" s="2187" t="n"/>
      <c r="C12" s="2188" t="n"/>
      <c r="D12" s="2189" t="n"/>
      <c r="E12" s="2189" t="n"/>
      <c r="F12" s="2286" t="n"/>
      <c r="G12" s="2189" t="n"/>
      <c r="H12" s="2189" t="n"/>
      <c r="I12" s="2287" t="n"/>
      <c r="J12" s="2287" t="n"/>
      <c r="K12" s="2287" t="n"/>
      <c r="L12" s="2287" t="n"/>
      <c r="M12" s="2287" t="n"/>
      <c r="N12" s="2289" t="n"/>
      <c r="O12" s="2288" t="n"/>
      <c r="P12" s="2191">
        <f>P50+P89+P131+P169+P210</f>
        <v/>
      </c>
      <c r="Q12" s="2192">
        <f>Q50+Q89+Q131+Q169+Q210</f>
        <v/>
      </c>
      <c r="R12" s="2192">
        <f>R50+R89+R131+R169+R210</f>
        <v/>
      </c>
      <c r="S12" s="2192">
        <f>S50+S89+S131+S169+S210</f>
        <v/>
      </c>
      <c r="T12" s="2192">
        <f>T50+T89+T131+T169+T210</f>
        <v/>
      </c>
      <c r="U12" s="2192">
        <f>U50+U89+U131+U169+U210</f>
        <v/>
      </c>
      <c r="V12" s="2192">
        <f>V50+V89+V131+V169+V210</f>
        <v/>
      </c>
      <c r="W12" s="2192">
        <f>W50+W89+W131+W169+W210</f>
        <v/>
      </c>
      <c r="X12" s="2192">
        <f>X50+X89+X131+X169+X210</f>
        <v/>
      </c>
      <c r="Y12" s="2192">
        <f>Y50+Y89+Y131+Y169+Y210</f>
        <v/>
      </c>
      <c r="Z12" s="2192">
        <f>Z50+Z89+Z131+Z169+Z210</f>
        <v/>
      </c>
      <c r="AA12" s="2145">
        <f>AA50+AA89+AA131+AA169+AA210</f>
        <v/>
      </c>
      <c r="AB12" s="2187" t="n"/>
      <c r="AC12" s="2188" t="n"/>
      <c r="AD12" s="2189" t="n"/>
      <c r="AE12" s="2189" t="n"/>
      <c r="AF12" s="2287" t="n"/>
      <c r="AG12" s="2287" t="n"/>
      <c r="AH12" s="2287" t="n"/>
      <c r="AI12" s="2287" t="n"/>
      <c r="AJ12" s="2287" t="n"/>
      <c r="AK12" s="2287" t="n"/>
      <c r="AL12" s="2287" t="n"/>
      <c r="AM12" s="2287" t="n"/>
      <c r="AN12" s="2289" t="n"/>
      <c r="AO12" s="2288" t="n"/>
      <c r="AP12" s="554">
        <f>(R12-Q12)/Q12</f>
        <v/>
      </c>
    </row>
    <row customFormat="1" r="13" s="2173" spans="1:44">
      <c r="A13" s="2194" t="s">
        <v>165</v>
      </c>
      <c r="B13" s="2195" t="n"/>
      <c r="C13" s="2196" t="n"/>
      <c r="D13" s="2197" t="n"/>
      <c r="E13" s="2197" t="n"/>
      <c r="F13" s="2290" t="n"/>
      <c r="G13" s="2197" t="n"/>
      <c r="H13" s="2197" t="n"/>
      <c r="I13" s="2197" t="n"/>
      <c r="J13" s="2197" t="n"/>
      <c r="K13" s="2197" t="n"/>
      <c r="L13" s="2197" t="n"/>
      <c r="M13" s="2197" t="n"/>
      <c r="N13" s="2198" t="n"/>
      <c r="O13" s="2291" t="n"/>
      <c r="P13" s="2199">
        <f>P51+P90+P132</f>
        <v/>
      </c>
      <c r="Q13" s="2200">
        <f>Q51+Q90+Q132</f>
        <v/>
      </c>
      <c r="R13" s="2200">
        <f>R51+R90+R132</f>
        <v/>
      </c>
      <c r="S13" s="2200">
        <f>S51+S90+S132</f>
        <v/>
      </c>
      <c r="T13" s="2200">
        <f>T51+T90+T132</f>
        <v/>
      </c>
      <c r="U13" s="2200">
        <f>U51+U90+U132</f>
        <v/>
      </c>
      <c r="V13" s="2200">
        <f>V51+V90+V132</f>
        <v/>
      </c>
      <c r="W13" s="2200">
        <f>W51+W90+W132</f>
        <v/>
      </c>
      <c r="X13" s="2200">
        <f>X51+X90+X132</f>
        <v/>
      </c>
      <c r="Y13" s="2200">
        <f>Y51+Y90+Y132</f>
        <v/>
      </c>
      <c r="Z13" s="2200">
        <f>Z51+Z90+Z132</f>
        <v/>
      </c>
      <c r="AA13" s="2292">
        <f>AA51+AA90+AA132</f>
        <v/>
      </c>
      <c r="AB13" s="2195" t="n"/>
      <c r="AC13" s="2197" t="n"/>
      <c r="AD13" s="2197" t="n"/>
      <c r="AE13" s="2197" t="n"/>
      <c r="AF13" s="2197" t="n"/>
      <c r="AG13" s="2197" t="n"/>
      <c r="AH13" s="2197" t="n"/>
      <c r="AI13" s="2197" t="n"/>
      <c r="AJ13" s="2197" t="n"/>
      <c r="AK13" s="2197" t="n"/>
      <c r="AL13" s="2197" t="n"/>
      <c r="AM13" s="2197" t="n"/>
      <c r="AN13" s="2198" t="n"/>
      <c r="AO13" s="2288" t="n"/>
      <c r="AP13" s="554" t="n"/>
    </row>
    <row customFormat="1" r="14" s="2173" spans="1:44">
      <c r="A14" s="2186" t="s">
        <v>89</v>
      </c>
      <c r="B14" s="2187" t="n"/>
      <c r="C14" s="2202">
        <f>C52+C91+C133+C171+C212</f>
        <v/>
      </c>
      <c r="D14" s="2192">
        <f>D52+D91+D133+D171+D212</f>
        <v/>
      </c>
      <c r="E14" s="2192">
        <f>E52+E91+E133+E171+E212</f>
        <v/>
      </c>
      <c r="F14" s="2192">
        <f>F52+F91+F133+F171+F212</f>
        <v/>
      </c>
      <c r="G14" s="2192">
        <f>G52+G91+G133+G171+G212</f>
        <v/>
      </c>
      <c r="H14" s="2192">
        <f>H52+H91+H133+H171+H212</f>
        <v/>
      </c>
      <c r="I14" s="2192">
        <f>I52+I91+I133+I171+I212</f>
        <v/>
      </c>
      <c r="J14" s="2192">
        <f>J52+J91+J133+J171+J212</f>
        <v/>
      </c>
      <c r="K14" s="2192">
        <f>K52+K91+K133+K171+K212</f>
        <v/>
      </c>
      <c r="L14" s="2192">
        <f>L52+L91+L133+L171+L212</f>
        <v/>
      </c>
      <c r="M14" s="2293">
        <f>M52+M91+M133+M171+M212</f>
        <v/>
      </c>
      <c r="N14" s="2145">
        <f>N52+N91+N133+N171+N212</f>
        <v/>
      </c>
      <c r="O14" s="2187" t="n"/>
      <c r="P14" s="2191" t="n"/>
      <c r="Q14" s="2192" t="n"/>
      <c r="R14" s="2192" t="n"/>
      <c r="S14" s="2192" t="n"/>
      <c r="T14" s="2192" t="n"/>
      <c r="U14" s="2192" t="n"/>
      <c r="V14" s="2192" t="n"/>
      <c r="W14" s="2192" t="n"/>
      <c r="X14" s="2192" t="n"/>
      <c r="Y14" s="2192" t="n"/>
      <c r="Z14" s="2192" t="n"/>
      <c r="AA14" s="2145" t="n"/>
      <c r="AB14" s="2187" t="n"/>
      <c r="AC14" s="2188" t="n"/>
      <c r="AD14" s="2189" t="n"/>
      <c r="AE14" s="2189" t="n"/>
      <c r="AF14" s="2287" t="n"/>
      <c r="AG14" s="2287" t="n"/>
      <c r="AH14" s="2287" t="n"/>
      <c r="AI14" s="2287" t="n"/>
      <c r="AJ14" s="2287" t="n"/>
      <c r="AK14" s="2287" t="n"/>
      <c r="AL14" s="2287" t="n"/>
      <c r="AM14" s="2287" t="n"/>
      <c r="AN14" s="2207" t="n"/>
      <c r="AO14" s="2288" t="n"/>
    </row>
    <row customFormat="1" r="15" s="2173" spans="1:44">
      <c r="A15" s="2186" t="s">
        <v>153</v>
      </c>
      <c r="B15" s="2187" t="n"/>
      <c r="C15" s="2188" t="n"/>
      <c r="D15" s="2189" t="n"/>
      <c r="E15" s="2189" t="n"/>
      <c r="F15" s="2286" t="n"/>
      <c r="G15" s="2189" t="n"/>
      <c r="H15" s="2189" t="n"/>
      <c r="I15" s="2189" t="n"/>
      <c r="J15" s="2189" t="n"/>
      <c r="K15" s="2189" t="n"/>
      <c r="L15" s="2189" t="n"/>
      <c r="M15" s="2189" t="n"/>
      <c r="N15" s="2190" t="n"/>
      <c r="O15" s="2288" t="n"/>
      <c r="P15" s="2188" t="n"/>
      <c r="Q15" s="2189" t="n"/>
      <c r="R15" s="2189" t="n"/>
      <c r="S15" s="2236" t="n"/>
      <c r="T15" s="2206" t="n"/>
      <c r="U15" s="2206" t="n"/>
      <c r="V15" s="2189" t="n"/>
      <c r="W15" s="2189" t="n"/>
      <c r="X15" s="2189" t="n"/>
      <c r="Y15" s="2189" t="n"/>
      <c r="Z15" s="2189" t="n"/>
      <c r="AA15" s="2190" t="n"/>
      <c r="AB15" s="2187" t="n"/>
      <c r="AC15" s="2188">
        <f>SUM(C4:C15)-SUM(P4:P15)</f>
        <v/>
      </c>
      <c r="AD15" s="2189">
        <f>SUM(D4:D15)-SUM(Q4:Q15)</f>
        <v/>
      </c>
      <c r="AE15" s="2189">
        <f>SUM(E4:E15)-SUM(R4:R15)</f>
        <v/>
      </c>
      <c r="AF15" s="2189">
        <f>SUM(F4:F15)-SUM(S4:S15)</f>
        <v/>
      </c>
      <c r="AG15" s="2189">
        <f>SUM(G4:G15)-SUM(T4:T15)</f>
        <v/>
      </c>
      <c r="AH15" s="2189">
        <f>SUM(H4:H15)-SUM(U4:U15)</f>
        <v/>
      </c>
      <c r="AI15" s="2189">
        <f>SUM(I4:I15)-SUM(V4:V15)</f>
        <v/>
      </c>
      <c r="AJ15" s="2189">
        <f>SUM(J4:J15)-SUM(W4:W15)</f>
        <v/>
      </c>
      <c r="AK15" s="2189">
        <f>SUM(K4:K15)-SUM(X4:X15)</f>
        <v/>
      </c>
      <c r="AL15" s="2189">
        <f>SUM(L4:L15)-SUM(Y4:Y15)</f>
        <v/>
      </c>
      <c r="AM15" s="2189">
        <f>SUM(M4:M15)-SUM(Z4:Z15)</f>
        <v/>
      </c>
      <c r="AN15" s="2190">
        <f>SUM(N4:N15)-SUM(AA4:AA15)</f>
        <v/>
      </c>
      <c r="AO15" s="2288" t="n"/>
    </row>
    <row customFormat="1" r="16" s="2173" spans="1:44">
      <c r="A16" s="2204" t="s">
        <v>182</v>
      </c>
      <c r="B16" s="2187" t="n"/>
      <c r="C16" s="2205" t="n"/>
      <c r="D16" s="2206" t="n"/>
      <c r="E16" s="2206" t="n"/>
      <c r="F16" s="2236" t="n"/>
      <c r="G16" s="2206" t="n"/>
      <c r="H16" s="2206" t="n"/>
      <c r="I16" s="2189" t="n"/>
      <c r="J16" s="2189" t="n"/>
      <c r="K16" s="2189" t="n"/>
      <c r="L16" s="2189" t="n"/>
      <c r="M16" s="2189" t="n"/>
      <c r="N16" s="2190" t="n"/>
      <c r="O16" s="2288" t="n"/>
      <c r="P16" s="2205" t="n"/>
      <c r="Q16" s="2206" t="n"/>
      <c r="R16" s="2206" t="n"/>
      <c r="S16" s="2286" t="n"/>
      <c r="T16" s="2189" t="n"/>
      <c r="U16" s="2189" t="n"/>
      <c r="V16" s="2189" t="n"/>
      <c r="W16" s="2189" t="n"/>
      <c r="X16" s="2189" t="n"/>
      <c r="Y16" s="2189" t="n"/>
      <c r="Z16" s="2189" t="n"/>
      <c r="AA16" s="2190" t="n"/>
      <c r="AB16" s="2187" t="n"/>
      <c r="AC16" s="623">
        <f>AC17/C17</f>
        <v/>
      </c>
      <c r="AD16" s="624">
        <f>AD17/D17</f>
        <v/>
      </c>
      <c r="AE16" s="629">
        <f>AE17/E17</f>
        <v/>
      </c>
      <c r="AF16" s="629">
        <f>AF17/F17</f>
        <v/>
      </c>
      <c r="AG16" s="629">
        <f>AG17/G17</f>
        <v/>
      </c>
      <c r="AH16" s="629">
        <f>AH17/H17</f>
        <v/>
      </c>
      <c r="AI16" s="629">
        <f>AI17/I17</f>
        <v/>
      </c>
      <c r="AJ16" s="629">
        <f>AJ17/J17</f>
        <v/>
      </c>
      <c r="AK16" s="629">
        <f>AK17/K17</f>
        <v/>
      </c>
      <c r="AL16" s="629">
        <f>AL17/L17</f>
        <v/>
      </c>
      <c r="AM16" s="629">
        <f>AM17/M17</f>
        <v/>
      </c>
      <c r="AN16" s="625">
        <f>AN17/N17</f>
        <v/>
      </c>
      <c r="AO16" s="2288" t="n"/>
    </row>
    <row customFormat="1" customHeight="1" ht="18" r="17" s="2173" spans="1:44" thickBot="1">
      <c r="A17" s="2208" t="s">
        <v>173</v>
      </c>
      <c r="B17" s="2209" t="n"/>
      <c r="C17" s="2210">
        <f>SUM(C4:C15)</f>
        <v/>
      </c>
      <c r="D17" s="2211">
        <f>SUM(D4:D15)</f>
        <v/>
      </c>
      <c r="E17" s="2294">
        <f>SUM(E4:E15)</f>
        <v/>
      </c>
      <c r="F17" s="2295">
        <f>SUM(F4:F15)</f>
        <v/>
      </c>
      <c r="G17" s="2211">
        <f>SUM(G4:G15)</f>
        <v/>
      </c>
      <c r="H17" s="2294">
        <f>SUM(H4:H15)</f>
        <v/>
      </c>
      <c r="I17" s="2294">
        <f>SUM(I4:I15)</f>
        <v/>
      </c>
      <c r="J17" s="2294">
        <f>SUM(J4:J15)</f>
        <v/>
      </c>
      <c r="K17" s="2294">
        <f>SUM(K4:K15)</f>
        <v/>
      </c>
      <c r="L17" s="2294">
        <f>SUM(L4:L15)</f>
        <v/>
      </c>
      <c r="M17" s="2294">
        <f>SUM(M4:M15)</f>
        <v/>
      </c>
      <c r="N17" s="2296">
        <f>SUM(N4:N15)</f>
        <v/>
      </c>
      <c r="O17" s="2297" t="n"/>
      <c r="P17" s="2210">
        <f>SUM(P4:P15)</f>
        <v/>
      </c>
      <c r="Q17" s="2211">
        <f>SUM(Q4:Q15)</f>
        <v/>
      </c>
      <c r="R17" s="2294">
        <f>SUM(R4:R15)</f>
        <v/>
      </c>
      <c r="S17" s="2294">
        <f>SUM(S4:S15)</f>
        <v/>
      </c>
      <c r="T17" s="2294">
        <f>SUM(T4:T15)</f>
        <v/>
      </c>
      <c r="U17" s="2294">
        <f>SUM(U4:U15)</f>
        <v/>
      </c>
      <c r="V17" s="2294">
        <f>SUM(V4:V15)</f>
        <v/>
      </c>
      <c r="W17" s="2294">
        <f>SUM(W4:W15)</f>
        <v/>
      </c>
      <c r="X17" s="2294">
        <f>SUM(X4:X15)</f>
        <v/>
      </c>
      <c r="Y17" s="2294">
        <f>SUM(Y4:Y15)</f>
        <v/>
      </c>
      <c r="Z17" s="2294">
        <f>SUM(Z4:Z15)</f>
        <v/>
      </c>
      <c r="AA17" s="2294">
        <f>SUM(AA4:AA15)</f>
        <v/>
      </c>
      <c r="AB17" s="2209" t="n"/>
      <c r="AC17" s="2210">
        <f>C17-P17</f>
        <v/>
      </c>
      <c r="AD17" s="2211">
        <f>D17-Q17</f>
        <v/>
      </c>
      <c r="AE17" s="2294">
        <f>E17-R17</f>
        <v/>
      </c>
      <c r="AF17" s="2294">
        <f>F17-S17</f>
        <v/>
      </c>
      <c r="AG17" s="2294">
        <f>G17-T17</f>
        <v/>
      </c>
      <c r="AH17" s="2294">
        <f>H17-U17</f>
        <v/>
      </c>
      <c r="AI17" s="2294">
        <f>I17-V17</f>
        <v/>
      </c>
      <c r="AJ17" s="2294">
        <f>J17-W17</f>
        <v/>
      </c>
      <c r="AK17" s="2294">
        <f>K17-X17</f>
        <v/>
      </c>
      <c r="AL17" s="2294">
        <f>L17-Y17</f>
        <v/>
      </c>
      <c r="AM17" s="2294">
        <f>M17-Z17</f>
        <v/>
      </c>
      <c r="AN17" s="2296">
        <f>N17-AA17</f>
        <v/>
      </c>
      <c r="AO17" s="2297" t="n"/>
      <c r="AP17" s="613" t="n"/>
    </row>
    <row customFormat="1" customHeight="1" ht="18" r="18" s="2213" spans="1:44">
      <c r="A18" s="2214" t="n"/>
      <c r="B18" s="563" t="n"/>
      <c r="C18" s="2215" t="n"/>
      <c r="D18" s="2215" t="n"/>
      <c r="E18" s="2215" t="n"/>
      <c r="F18" s="2215" t="n"/>
      <c r="G18" s="2215" t="n"/>
      <c r="H18" s="2215" t="n"/>
      <c r="I18" s="2215" t="n"/>
      <c r="J18" s="2215" t="n"/>
      <c r="K18" s="2215" t="n"/>
      <c r="L18" s="2215" t="n"/>
      <c r="M18" s="2215" t="n"/>
      <c r="N18" s="2215" t="n"/>
      <c r="O18" s="563" t="n"/>
      <c r="P18" s="2215" t="n"/>
      <c r="Q18" s="2215" t="n"/>
      <c r="R18" s="2215" t="n"/>
      <c r="S18" s="2215" t="n"/>
      <c r="T18" s="2215" t="n"/>
      <c r="U18" s="2215" t="n"/>
      <c r="V18" s="2215" t="n"/>
      <c r="W18" s="2215" t="n"/>
      <c r="X18" s="2215" t="n"/>
      <c r="Y18" s="2215" t="n"/>
      <c r="Z18" s="2215" t="n"/>
      <c r="AA18" s="2215" t="n"/>
      <c r="AB18" s="563" t="n"/>
      <c r="AC18" s="2215" t="n"/>
      <c r="AD18" s="2215" t="n"/>
      <c r="AE18" s="2215" t="n"/>
      <c r="AF18" s="2215" t="n"/>
      <c r="AG18" s="2215" t="n"/>
      <c r="AH18" s="2215" t="n"/>
      <c r="AI18" s="2215" t="n"/>
      <c r="AJ18" s="2215" t="n"/>
      <c r="AK18" s="2215" t="n"/>
      <c r="AL18" s="2215" t="n"/>
      <c r="AM18" s="2215" t="n"/>
      <c r="AN18" s="2215" t="n"/>
      <c r="AO18" s="563" t="n"/>
    </row>
    <row customFormat="1" customHeight="1" ht="18" r="19" s="2213" spans="1:44">
      <c r="A19" s="2214" t="n"/>
      <c r="B19" s="563" t="n"/>
      <c r="C19" s="2215" t="n"/>
      <c r="D19" s="2215" t="n"/>
      <c r="E19" s="2215" t="n"/>
      <c r="F19" s="2215" t="n"/>
      <c r="G19" s="2215" t="n"/>
      <c r="H19" s="2215" t="n"/>
      <c r="I19" s="2215" t="n"/>
      <c r="J19" s="2215" t="n"/>
      <c r="K19" s="2215" t="n"/>
      <c r="L19" s="2215" t="n"/>
      <c r="M19" s="2215" t="n"/>
      <c r="N19" s="2215" t="n"/>
      <c r="O19" s="563" t="n"/>
      <c r="P19" s="2215" t="n"/>
      <c r="Q19" s="2215" t="n"/>
      <c r="R19" s="2215" t="n"/>
      <c r="S19" s="2215" t="n"/>
      <c r="T19" s="2215" t="n"/>
      <c r="U19" s="2215" t="n"/>
      <c r="V19" s="2215" t="n"/>
      <c r="W19" s="2215" t="n"/>
      <c r="X19" s="2215" t="n"/>
      <c r="Y19" s="2215" t="n"/>
      <c r="Z19" s="2215" t="n"/>
      <c r="AA19" s="2215" t="n"/>
      <c r="AB19" s="563" t="n"/>
      <c r="AC19" s="2215" t="n"/>
      <c r="AD19" s="2215" t="n"/>
      <c r="AE19" s="2215" t="n"/>
      <c r="AF19" s="2215" t="n"/>
      <c r="AG19" s="2215" t="n"/>
      <c r="AH19" s="2215" t="n"/>
      <c r="AI19" s="2215" t="n"/>
      <c r="AJ19" s="2215" t="n"/>
      <c r="AK19" s="2215" t="n"/>
      <c r="AL19" s="2215" t="n"/>
      <c r="AM19" s="2215" t="n"/>
      <c r="AN19" s="2215" t="n"/>
      <c r="AO19" s="563" t="n"/>
    </row>
    <row customFormat="1" customHeight="1" ht="18" r="20" s="2213" spans="1:44">
      <c r="A20" s="2214" t="n"/>
      <c r="B20" s="563" t="n"/>
      <c r="C20" s="2215" t="n"/>
      <c r="D20" s="2215" t="n"/>
      <c r="E20" s="2215" t="n"/>
      <c r="F20" s="2215" t="n"/>
      <c r="G20" s="2215" t="n"/>
      <c r="H20" s="2215" t="n"/>
      <c r="I20" s="2215" t="n"/>
      <c r="J20" s="2215" t="n"/>
      <c r="K20" s="2215" t="n"/>
      <c r="L20" s="2215" t="n"/>
      <c r="M20" s="2215" t="n"/>
      <c r="N20" s="2215" t="n"/>
      <c r="O20" s="563" t="n"/>
      <c r="P20" s="2215" t="n"/>
      <c r="Q20" s="2215" t="n"/>
      <c r="R20" s="2215" t="n"/>
      <c r="S20" s="2215" t="n"/>
      <c r="T20" s="2215" t="n"/>
      <c r="U20" s="2215" t="n"/>
      <c r="V20" s="2215" t="n"/>
      <c r="W20" s="2215" t="n"/>
      <c r="X20" s="2215" t="n"/>
      <c r="Y20" s="2215" t="n"/>
      <c r="Z20" s="2215" t="n"/>
      <c r="AA20" s="2215" t="n"/>
      <c r="AB20" s="563" t="n"/>
      <c r="AC20" s="2215" t="n"/>
      <c r="AD20" s="2215" t="n"/>
      <c r="AE20" s="2215" t="n"/>
      <c r="AF20" s="2215" t="n"/>
      <c r="AG20" s="2215" t="n"/>
      <c r="AH20" s="2215" t="n"/>
      <c r="AI20" s="2215" t="n"/>
      <c r="AJ20" s="2215" t="n"/>
      <c r="AK20" s="2215" t="n"/>
      <c r="AL20" s="2215" t="n"/>
      <c r="AM20" s="2215" t="n"/>
      <c r="AN20" s="2215" t="n"/>
      <c r="AO20" s="563" t="n"/>
    </row>
    <row customFormat="1" customHeight="1" ht="18" r="21" s="2213" spans="1:44">
      <c r="A21" s="2214" t="n"/>
      <c r="B21" s="563" t="n"/>
      <c r="C21" s="2215" t="n"/>
      <c r="D21" s="2215" t="n"/>
      <c r="E21" s="2215" t="n"/>
      <c r="F21" s="2215" t="n"/>
      <c r="G21" s="2215" t="n"/>
      <c r="H21" s="2215" t="n"/>
      <c r="I21" s="2215" t="n"/>
      <c r="J21" s="2215" t="n"/>
      <c r="K21" s="2215" t="n"/>
      <c r="L21" s="2215" t="n"/>
      <c r="M21" s="2215" t="n"/>
      <c r="N21" s="2215" t="n"/>
      <c r="O21" s="563" t="n"/>
      <c r="P21" s="2215" t="n"/>
      <c r="Q21" s="2215" t="n"/>
      <c r="R21" s="2215" t="n"/>
      <c r="S21" s="2215" t="n"/>
      <c r="T21" s="2215" t="n"/>
      <c r="U21" s="2215" t="n"/>
      <c r="V21" s="2215" t="n"/>
      <c r="W21" s="2215" t="n"/>
      <c r="X21" s="2215" t="n"/>
      <c r="Y21" s="2215" t="n"/>
      <c r="Z21" s="2215" t="n"/>
      <c r="AA21" s="2215" t="n"/>
      <c r="AB21" s="563" t="n"/>
      <c r="AC21" s="2215" t="n"/>
      <c r="AD21" s="2215" t="n"/>
      <c r="AE21" s="2215" t="n"/>
      <c r="AF21" s="2215" t="n"/>
      <c r="AG21" s="2215" t="n"/>
      <c r="AH21" s="2215" t="n"/>
      <c r="AI21" s="2215" t="n"/>
      <c r="AJ21" s="2215" t="n"/>
      <c r="AK21" s="2215" t="n"/>
      <c r="AL21" s="2215" t="n"/>
      <c r="AM21" s="2215" t="n"/>
      <c r="AN21" s="2215" t="n"/>
      <c r="AO21" s="563" t="n"/>
    </row>
    <row customFormat="1" customHeight="1" ht="18" r="22" s="2213" spans="1:44">
      <c r="A22" s="2214" t="n"/>
      <c r="B22" s="563" t="n"/>
      <c r="C22" s="2215" t="n"/>
      <c r="D22" s="2215" t="n"/>
      <c r="E22" s="2215" t="n"/>
      <c r="F22" s="2215" t="n"/>
      <c r="G22" s="2215" t="n"/>
      <c r="H22" s="2215" t="n"/>
      <c r="I22" s="2215" t="n"/>
      <c r="J22" s="2215" t="n"/>
      <c r="K22" s="2215" t="n"/>
      <c r="L22" s="2215" t="n"/>
      <c r="M22" s="2215" t="n"/>
      <c r="N22" s="2215" t="n"/>
      <c r="O22" s="563" t="n"/>
      <c r="P22" s="2215" t="n"/>
      <c r="Q22" s="2215" t="n"/>
      <c r="R22" s="2215" t="n"/>
      <c r="S22" s="2215" t="n"/>
      <c r="T22" s="2215" t="n"/>
      <c r="U22" s="2215" t="n"/>
      <c r="V22" s="2215" t="n"/>
      <c r="W22" s="2215" t="n"/>
      <c r="X22" s="2215" t="n"/>
      <c r="Y22" s="2215" t="n"/>
      <c r="Z22" s="2215" t="n"/>
      <c r="AA22" s="2215" t="n"/>
      <c r="AB22" s="563" t="n"/>
      <c r="AC22" s="2215" t="n"/>
      <c r="AD22" s="2215" t="n"/>
      <c r="AE22" s="2215" t="n"/>
      <c r="AF22" s="2215" t="n"/>
      <c r="AG22" s="2215" t="n"/>
      <c r="AH22" s="2215" t="n"/>
      <c r="AI22" s="2215" t="n"/>
      <c r="AJ22" s="2215" t="n"/>
      <c r="AK22" s="2215" t="n"/>
      <c r="AL22" s="2215" t="n"/>
      <c r="AM22" s="2215" t="n"/>
      <c r="AN22" s="2215" t="n"/>
      <c r="AO22" s="563" t="n"/>
    </row>
    <row customFormat="1" customHeight="1" ht="18" r="23" s="2213" spans="1:44">
      <c r="A23" s="2214" t="n"/>
      <c r="B23" s="563" t="n"/>
      <c r="C23" s="2215" t="n"/>
      <c r="D23" s="2215" t="n"/>
      <c r="E23" s="2215" t="n"/>
      <c r="F23" s="2215" t="n"/>
      <c r="G23" s="2215" t="n"/>
      <c r="H23" s="2215" t="n"/>
      <c r="I23" s="2215" t="n"/>
      <c r="J23" s="2215" t="n"/>
      <c r="K23" s="2215" t="n"/>
      <c r="L23" s="2215" t="n"/>
      <c r="M23" s="2215" t="n"/>
      <c r="N23" s="2215" t="n"/>
      <c r="O23" s="563" t="n"/>
      <c r="P23" s="2215" t="n"/>
      <c r="Q23" s="2215" t="n"/>
      <c r="R23" s="2215" t="n"/>
      <c r="S23" s="2215" t="n"/>
      <c r="T23" s="2215" t="n"/>
      <c r="U23" s="2215" t="n"/>
      <c r="V23" s="2215" t="n"/>
      <c r="W23" s="2215" t="n"/>
      <c r="X23" s="2215" t="n"/>
      <c r="Y23" s="2215" t="n"/>
      <c r="Z23" s="2215" t="n"/>
      <c r="AA23" s="2215" t="n"/>
      <c r="AB23" s="563" t="n"/>
      <c r="AC23" s="2215" t="n"/>
      <c r="AD23" s="2215" t="n"/>
      <c r="AE23" s="2215" t="n"/>
      <c r="AF23" s="2215" t="n"/>
      <c r="AG23" s="2215" t="n"/>
      <c r="AH23" s="2215" t="n"/>
      <c r="AI23" s="2215" t="n"/>
      <c r="AJ23" s="2215" t="n"/>
      <c r="AK23" s="2215" t="n"/>
      <c r="AL23" s="2215" t="n"/>
      <c r="AM23" s="2215" t="n"/>
      <c r="AN23" s="2215" t="n"/>
      <c r="AO23" s="563" t="n"/>
    </row>
    <row customFormat="1" customHeight="1" ht="18" r="24" s="2213" spans="1:44">
      <c r="A24" s="2214" t="n"/>
      <c r="B24" s="563" t="n"/>
      <c r="C24" s="2215" t="n"/>
      <c r="D24" s="2215" t="n"/>
      <c r="E24" s="2215" t="n"/>
      <c r="F24" s="2215" t="n"/>
      <c r="G24" s="2215" t="n"/>
      <c r="H24" s="2215" t="n"/>
      <c r="I24" s="2215" t="n"/>
      <c r="J24" s="2215" t="n"/>
      <c r="K24" s="2215" t="n"/>
      <c r="L24" s="2215" t="n"/>
      <c r="M24" s="2215" t="n"/>
      <c r="N24" s="2215" t="n"/>
      <c r="O24" s="563" t="n"/>
      <c r="P24" s="2215" t="n"/>
      <c r="Q24" s="2215" t="n"/>
      <c r="R24" s="2215" t="n"/>
      <c r="S24" s="2215" t="n"/>
      <c r="T24" s="2215" t="n"/>
      <c r="U24" s="2215" t="n"/>
      <c r="V24" s="2215" t="n"/>
      <c r="W24" s="2215" t="n"/>
      <c r="X24" s="2215" t="n"/>
      <c r="Y24" s="2215" t="n"/>
      <c r="Z24" s="2215" t="n"/>
      <c r="AA24" s="2215" t="n"/>
      <c r="AB24" s="563" t="n"/>
      <c r="AC24" s="2215" t="n"/>
      <c r="AD24" s="2215" t="n"/>
      <c r="AE24" s="2215" t="n"/>
      <c r="AF24" s="2215" t="n"/>
      <c r="AG24" s="2215" t="n"/>
      <c r="AH24" s="2215" t="n"/>
      <c r="AI24" s="2215" t="n"/>
      <c r="AJ24" s="2215" t="n"/>
      <c r="AK24" s="2215" t="n"/>
      <c r="AL24" s="2215" t="n"/>
      <c r="AM24" s="2215" t="n"/>
      <c r="AN24" s="2215" t="n"/>
      <c r="AO24" s="563" t="n"/>
    </row>
    <row customFormat="1" customHeight="1" ht="18" r="25" s="2213" spans="1:44">
      <c r="A25" s="2214" t="n"/>
      <c r="B25" s="563" t="n"/>
      <c r="C25" s="2215" t="n"/>
      <c r="D25" s="2215" t="n"/>
      <c r="E25" s="2215" t="n"/>
      <c r="F25" s="2215" t="n"/>
      <c r="G25" s="2215" t="n"/>
      <c r="H25" s="2215" t="n"/>
      <c r="I25" s="2215" t="n"/>
      <c r="J25" s="2215" t="n"/>
      <c r="K25" s="2215" t="n"/>
      <c r="L25" s="2215" t="n"/>
      <c r="M25" s="2215" t="n"/>
      <c r="N25" s="2215" t="n"/>
      <c r="O25" s="563" t="n"/>
      <c r="P25" s="2215" t="n"/>
      <c r="Q25" s="2215" t="n"/>
      <c r="R25" s="2215" t="n"/>
      <c r="S25" s="2215" t="n"/>
      <c r="T25" s="2215" t="n"/>
      <c r="U25" s="2215" t="n"/>
      <c r="V25" s="2215" t="n"/>
      <c r="W25" s="2215" t="n"/>
      <c r="X25" s="2215" t="n"/>
      <c r="Y25" s="2215" t="n"/>
      <c r="Z25" s="2215" t="n"/>
      <c r="AA25" s="2215" t="n"/>
      <c r="AB25" s="563" t="n"/>
      <c r="AC25" s="2215" t="n"/>
      <c r="AD25" s="2215" t="n"/>
      <c r="AE25" s="2215" t="n"/>
      <c r="AF25" s="2215" t="n"/>
      <c r="AG25" s="2215" t="n"/>
      <c r="AH25" s="2215" t="n"/>
      <c r="AI25" s="2215" t="n"/>
      <c r="AJ25" s="2215" t="n"/>
      <c r="AK25" s="2215" t="n"/>
      <c r="AL25" s="2215" t="n"/>
      <c r="AM25" s="2215" t="n"/>
      <c r="AN25" s="2215" t="n"/>
      <c r="AO25" s="563" t="n"/>
    </row>
    <row customFormat="1" customHeight="1" ht="18" r="26" s="2213" spans="1:44">
      <c r="A26" s="2214" t="n"/>
      <c r="B26" s="563" t="n"/>
      <c r="C26" s="2215" t="n"/>
      <c r="D26" s="2215" t="n"/>
      <c r="E26" s="2215" t="n"/>
      <c r="F26" s="2215" t="n"/>
      <c r="G26" s="2215" t="n"/>
      <c r="H26" s="2215" t="n"/>
      <c r="I26" s="2215" t="n"/>
      <c r="J26" s="2215" t="n"/>
      <c r="K26" s="2215" t="n"/>
      <c r="L26" s="2215" t="n"/>
      <c r="M26" s="2215" t="n"/>
      <c r="N26" s="2215" t="n"/>
      <c r="O26" s="563" t="n"/>
      <c r="P26" s="2215" t="n"/>
      <c r="Q26" s="2215" t="n"/>
      <c r="R26" s="2215" t="n"/>
      <c r="S26" s="2215" t="n"/>
      <c r="T26" s="2215" t="n"/>
      <c r="U26" s="2215" t="n"/>
      <c r="V26" s="2215" t="n"/>
      <c r="W26" s="2215" t="n"/>
      <c r="X26" s="2215" t="n"/>
      <c r="Y26" s="2215" t="n"/>
      <c r="Z26" s="2215" t="n"/>
      <c r="AA26" s="2215" t="n"/>
      <c r="AB26" s="563" t="n"/>
      <c r="AC26" s="2215" t="n"/>
      <c r="AD26" s="2215" t="n"/>
      <c r="AE26" s="2215" t="n"/>
      <c r="AF26" s="2215" t="n"/>
      <c r="AG26" s="2215" t="n"/>
      <c r="AH26" s="2215" t="n"/>
      <c r="AI26" s="2215" t="n"/>
      <c r="AJ26" s="2215" t="n"/>
      <c r="AK26" s="2215" t="n"/>
      <c r="AL26" s="2215" t="n"/>
      <c r="AM26" s="2215" t="n"/>
      <c r="AN26" s="2215" t="n"/>
      <c r="AO26" s="563" t="n"/>
    </row>
    <row customFormat="1" customHeight="1" ht="18" r="27" s="2213" spans="1:44">
      <c r="A27" s="2214" t="n"/>
      <c r="B27" s="563" t="n"/>
      <c r="C27" s="2215" t="n"/>
      <c r="D27" s="2215" t="n"/>
      <c r="E27" s="2215" t="n"/>
      <c r="F27" s="2215" t="n"/>
      <c r="G27" s="2215" t="n"/>
      <c r="H27" s="2215" t="n"/>
      <c r="I27" s="2215" t="n"/>
      <c r="J27" s="2215" t="n"/>
      <c r="K27" s="2215" t="n"/>
      <c r="L27" s="2215" t="n"/>
      <c r="M27" s="2215" t="n"/>
      <c r="N27" s="2215" t="n"/>
      <c r="O27" s="563" t="n"/>
      <c r="P27" s="2215" t="n"/>
      <c r="Q27" s="2215" t="n"/>
      <c r="R27" s="2215" t="n"/>
      <c r="S27" s="2215" t="n"/>
      <c r="T27" s="2215" t="n"/>
      <c r="U27" s="2215" t="n"/>
      <c r="V27" s="2215" t="n"/>
      <c r="W27" s="2215" t="n"/>
      <c r="X27" s="2215" t="n"/>
      <c r="Y27" s="2215" t="n"/>
      <c r="Z27" s="2215" t="n"/>
      <c r="AA27" s="2215" t="n"/>
      <c r="AB27" s="563" t="n"/>
      <c r="AC27" s="2215" t="n"/>
      <c r="AD27" s="2215" t="n"/>
      <c r="AE27" s="2215" t="n"/>
      <c r="AF27" s="2215" t="n"/>
      <c r="AG27" s="2215" t="n"/>
      <c r="AH27" s="2215" t="n"/>
      <c r="AI27" s="2215" t="n"/>
      <c r="AJ27" s="2215" t="n"/>
      <c r="AK27" s="2215" t="n"/>
      <c r="AL27" s="2215" t="n"/>
      <c r="AM27" s="2215" t="n"/>
      <c r="AN27" s="2215" t="n"/>
      <c r="AO27" s="563" t="n"/>
    </row>
    <row customFormat="1" customHeight="1" ht="18" r="28" s="2213" spans="1:44">
      <c r="A28" s="2214" t="n"/>
      <c r="B28" s="563" t="n"/>
      <c r="C28" s="2215" t="n"/>
      <c r="D28" s="2215" t="n"/>
      <c r="E28" s="2215" t="n"/>
      <c r="F28" s="2215" t="n"/>
      <c r="G28" s="2215" t="n"/>
      <c r="H28" s="2215" t="n"/>
      <c r="I28" s="2215" t="n"/>
      <c r="J28" s="2215" t="n"/>
      <c r="K28" s="2215" t="n"/>
      <c r="L28" s="2215" t="n"/>
      <c r="M28" s="2215" t="n"/>
      <c r="N28" s="2215" t="n"/>
      <c r="O28" s="563" t="n"/>
      <c r="P28" s="2215" t="n"/>
      <c r="Q28" s="2215" t="n"/>
      <c r="R28" s="2215" t="n"/>
      <c r="S28" s="2215" t="n"/>
      <c r="T28" s="2215" t="n"/>
      <c r="U28" s="2215" t="n"/>
      <c r="V28" s="2215" t="n"/>
      <c r="W28" s="2215" t="n"/>
      <c r="X28" s="2215" t="n"/>
      <c r="Y28" s="2215" t="n"/>
      <c r="Z28" s="2215" t="n"/>
      <c r="AA28" s="2215" t="n"/>
      <c r="AB28" s="563" t="n"/>
      <c r="AC28" s="2215" t="n"/>
      <c r="AD28" s="2215" t="n"/>
      <c r="AE28" s="2215" t="n"/>
      <c r="AF28" s="2215" t="n"/>
      <c r="AG28" s="2215" t="n"/>
      <c r="AH28" s="2215" t="n"/>
      <c r="AI28" s="2215" t="n"/>
      <c r="AJ28" s="2215" t="n"/>
      <c r="AK28" s="2215" t="n"/>
      <c r="AL28" s="2215" t="n"/>
      <c r="AM28" s="2215" t="n"/>
      <c r="AN28" s="2215" t="n"/>
      <c r="AO28" s="563" t="n"/>
    </row>
    <row customFormat="1" customHeight="1" ht="18" r="29" s="2213" spans="1:44">
      <c r="A29" s="2214" t="n"/>
      <c r="B29" s="563" t="n"/>
      <c r="C29" s="2215" t="n"/>
      <c r="D29" s="2215" t="n"/>
      <c r="E29" s="2215" t="n"/>
      <c r="F29" s="2215" t="n"/>
      <c r="G29" s="2215" t="n"/>
      <c r="H29" s="2215" t="n"/>
      <c r="I29" s="2215" t="n"/>
      <c r="J29" s="2215" t="n"/>
      <c r="K29" s="2215" t="n"/>
      <c r="L29" s="2215" t="n"/>
      <c r="M29" s="2215" t="n"/>
      <c r="N29" s="2215" t="n"/>
      <c r="O29" s="563" t="n"/>
      <c r="P29" s="2215" t="n"/>
      <c r="Q29" s="2215" t="n"/>
      <c r="R29" s="2215" t="n"/>
      <c r="S29" s="2215" t="n"/>
      <c r="T29" s="2215" t="n"/>
      <c r="U29" s="2215" t="n"/>
      <c r="V29" s="2215" t="n"/>
      <c r="W29" s="2215" t="n"/>
      <c r="X29" s="2215" t="n"/>
      <c r="Y29" s="2215" t="n"/>
      <c r="Z29" s="2215" t="n"/>
      <c r="AA29" s="2215" t="n"/>
      <c r="AB29" s="563" t="n"/>
      <c r="AC29" s="2215" t="n"/>
      <c r="AD29" s="2215" t="n"/>
      <c r="AE29" s="2215" t="n"/>
      <c r="AF29" s="2215" t="n"/>
      <c r="AG29" s="2215" t="n"/>
      <c r="AH29" s="2215" t="n"/>
      <c r="AI29" s="2215" t="n"/>
      <c r="AJ29" s="2215" t="n"/>
      <c r="AK29" s="2215" t="n"/>
      <c r="AL29" s="2215" t="n"/>
      <c r="AM29" s="2215" t="n"/>
      <c r="AN29" s="2215" t="n"/>
      <c r="AO29" s="563" t="n"/>
    </row>
    <row customFormat="1" customHeight="1" ht="18" r="30" s="2213" spans="1:44">
      <c r="A30" s="2214" t="n"/>
      <c r="B30" s="563" t="n"/>
      <c r="C30" s="2215" t="n"/>
      <c r="D30" s="2215" t="n"/>
      <c r="E30" s="2215" t="n"/>
      <c r="F30" s="2215" t="n"/>
      <c r="G30" s="2215" t="n"/>
      <c r="H30" s="2215" t="n"/>
      <c r="I30" s="2215" t="n"/>
      <c r="J30" s="2215" t="n"/>
      <c r="K30" s="2215" t="n"/>
      <c r="L30" s="2215" t="n"/>
      <c r="M30" s="2215" t="n"/>
      <c r="N30" s="2215" t="n"/>
      <c r="O30" s="563" t="n"/>
      <c r="P30" s="2215" t="n"/>
      <c r="Q30" s="2215" t="n"/>
      <c r="R30" s="2215" t="n"/>
      <c r="S30" s="2215" t="n"/>
      <c r="T30" s="2215" t="n"/>
      <c r="U30" s="2215" t="n"/>
      <c r="V30" s="2215" t="n"/>
      <c r="W30" s="2215" t="n"/>
      <c r="X30" s="2215" t="n"/>
      <c r="Y30" s="2215" t="n"/>
      <c r="Z30" s="2215" t="n"/>
      <c r="AA30" s="2215" t="n"/>
      <c r="AB30" s="563" t="n"/>
      <c r="AC30" s="2215" t="n"/>
      <c r="AD30" s="2215" t="n"/>
      <c r="AE30" s="2215" t="n"/>
      <c r="AF30" s="2215" t="n"/>
      <c r="AG30" s="2215" t="n"/>
      <c r="AH30" s="2215" t="n"/>
      <c r="AI30" s="2215" t="n"/>
      <c r="AJ30" s="2215" t="n"/>
      <c r="AK30" s="2215" t="n"/>
      <c r="AL30" s="2215" t="n"/>
      <c r="AM30" s="2215" t="n"/>
      <c r="AN30" s="2215" t="n"/>
      <c r="AO30" s="563" t="n"/>
    </row>
    <row customFormat="1" customHeight="1" ht="18" r="31" s="2213" spans="1:44">
      <c r="A31" s="2214" t="n"/>
      <c r="B31" s="563" t="n"/>
      <c r="C31" s="2215" t="n"/>
      <c r="D31" s="2215" t="n"/>
      <c r="E31" s="2215" t="n"/>
      <c r="F31" s="2215" t="n"/>
      <c r="G31" s="2215" t="n"/>
      <c r="H31" s="2215" t="n"/>
      <c r="I31" s="2215" t="n"/>
      <c r="J31" s="2215" t="n"/>
      <c r="K31" s="2215" t="n"/>
      <c r="L31" s="2215" t="n"/>
      <c r="M31" s="2215" t="n"/>
      <c r="N31" s="2215" t="n"/>
      <c r="O31" s="563" t="n"/>
      <c r="P31" s="2215" t="n"/>
      <c r="Q31" s="2215" t="n"/>
      <c r="R31" s="2215" t="n"/>
      <c r="S31" s="2215" t="n"/>
      <c r="T31" s="2215" t="n"/>
      <c r="U31" s="2215" t="n"/>
      <c r="V31" s="2215" t="n"/>
      <c r="W31" s="2215" t="n"/>
      <c r="X31" s="2215" t="n"/>
      <c r="Y31" s="2215" t="n"/>
      <c r="Z31" s="2215" t="n"/>
      <c r="AA31" s="2215" t="n"/>
      <c r="AB31" s="563" t="n"/>
      <c r="AC31" s="2215" t="n"/>
      <c r="AD31" s="2215" t="n"/>
      <c r="AE31" s="2215" t="n"/>
      <c r="AF31" s="2215" t="n"/>
      <c r="AG31" s="2215" t="n"/>
      <c r="AH31" s="2215" t="n"/>
      <c r="AI31" s="2215" t="n"/>
      <c r="AJ31" s="2215" t="n"/>
      <c r="AK31" s="2215" t="n"/>
      <c r="AL31" s="2215" t="n"/>
      <c r="AM31" s="2215" t="n"/>
      <c r="AN31" s="2215" t="n"/>
      <c r="AO31" s="563" t="n"/>
    </row>
    <row customFormat="1" customHeight="1" ht="18" r="32" s="2213" spans="1:44">
      <c r="A32" s="2214" t="n"/>
      <c r="B32" s="563" t="n"/>
      <c r="C32" s="2215" t="n"/>
      <c r="D32" s="2215" t="n"/>
      <c r="E32" s="2215" t="n"/>
      <c r="F32" s="2215" t="n"/>
      <c r="G32" s="2215" t="n"/>
      <c r="H32" s="2215" t="n"/>
      <c r="I32" s="2215" t="n"/>
      <c r="J32" s="2215" t="n"/>
      <c r="K32" s="2215" t="n"/>
      <c r="L32" s="2215" t="n"/>
      <c r="M32" s="2215" t="n"/>
      <c r="N32" s="2215" t="n"/>
      <c r="O32" s="563" t="n"/>
      <c r="P32" s="2215" t="n"/>
      <c r="Q32" s="2215" t="n"/>
      <c r="R32" s="2215" t="n"/>
      <c r="S32" s="2215" t="n"/>
      <c r="T32" s="2215" t="n"/>
      <c r="U32" s="2215" t="n"/>
      <c r="V32" s="2215" t="n"/>
      <c r="W32" s="2215" t="n"/>
      <c r="X32" s="2215" t="n"/>
      <c r="Y32" s="2215" t="n"/>
      <c r="Z32" s="2215" t="n"/>
      <c r="AA32" s="2215" t="n"/>
      <c r="AB32" s="563" t="n"/>
      <c r="AC32" s="2215" t="n"/>
      <c r="AD32" s="2215" t="n"/>
      <c r="AE32" s="2215" t="n"/>
      <c r="AF32" s="2215" t="n"/>
      <c r="AG32" s="2215" t="n"/>
      <c r="AH32" s="2215" t="n"/>
      <c r="AI32" s="2215" t="n"/>
      <c r="AJ32" s="2215" t="n"/>
      <c r="AK32" s="2215" t="n"/>
      <c r="AL32" s="2215" t="n"/>
      <c r="AM32" s="2215" t="n"/>
      <c r="AN32" s="2215" t="n"/>
      <c r="AO32" s="563" t="n"/>
    </row>
    <row customFormat="1" customHeight="1" ht="18" r="33" s="2213" spans="1:44">
      <c r="A33" s="2214" t="n"/>
      <c r="B33" s="563" t="n"/>
      <c r="C33" s="2215" t="n"/>
      <c r="D33" s="2215" t="n"/>
      <c r="E33" s="2215" t="n"/>
      <c r="F33" s="2215" t="n"/>
      <c r="G33" s="2215" t="n"/>
      <c r="H33" s="2215" t="n"/>
      <c r="I33" s="2215" t="n"/>
      <c r="J33" s="2215" t="n"/>
      <c r="K33" s="2215" t="n"/>
      <c r="L33" s="2215" t="n"/>
      <c r="M33" s="2215" t="n"/>
      <c r="N33" s="2215" t="n"/>
      <c r="O33" s="563" t="n"/>
      <c r="P33" s="2215" t="n"/>
      <c r="Q33" s="2215" t="n"/>
      <c r="R33" s="2215" t="n"/>
      <c r="S33" s="2215" t="n"/>
      <c r="T33" s="2215" t="n"/>
      <c r="U33" s="2215" t="n"/>
      <c r="V33" s="2215" t="n"/>
      <c r="W33" s="2215" t="n"/>
      <c r="X33" s="2215" t="n"/>
      <c r="Y33" s="2215" t="n"/>
      <c r="Z33" s="2215" t="n"/>
      <c r="AA33" s="2215" t="n"/>
      <c r="AB33" s="563" t="n"/>
      <c r="AC33" s="2215" t="n"/>
      <c r="AD33" s="2215" t="n"/>
      <c r="AE33" s="2215" t="n"/>
      <c r="AF33" s="2215" t="n"/>
      <c r="AG33" s="2215" t="n"/>
      <c r="AH33" s="2215" t="n"/>
      <c r="AI33" s="2215" t="n"/>
      <c r="AJ33" s="2215" t="n"/>
      <c r="AK33" s="2215" t="n"/>
      <c r="AL33" s="2215" t="n"/>
      <c r="AM33" s="2215" t="n"/>
      <c r="AN33" s="2215" t="n"/>
      <c r="AO33" s="563" t="n"/>
    </row>
    <row customFormat="1" customHeight="1" ht="18" r="34" s="2213" spans="1:44">
      <c r="A34" s="2214" t="n"/>
      <c r="B34" s="563" t="n"/>
      <c r="C34" s="2215" t="n"/>
      <c r="D34" s="2215" t="n"/>
      <c r="E34" s="2215" t="n"/>
      <c r="F34" s="2215" t="n"/>
      <c r="G34" s="2215" t="n"/>
      <c r="H34" s="2215" t="n"/>
      <c r="I34" s="2215" t="n"/>
      <c r="J34" s="2215" t="n"/>
      <c r="K34" s="2215" t="n"/>
      <c r="L34" s="2215" t="n"/>
      <c r="M34" s="2215" t="n"/>
      <c r="N34" s="2215" t="n"/>
      <c r="O34" s="563" t="n"/>
      <c r="P34" s="2215" t="n"/>
      <c r="Q34" s="2215" t="n"/>
      <c r="R34" s="2215" t="n"/>
      <c r="S34" s="2215" t="n"/>
      <c r="T34" s="2215" t="n"/>
      <c r="U34" s="2215" t="n"/>
      <c r="V34" s="2215" t="n"/>
      <c r="W34" s="2215" t="n"/>
      <c r="X34" s="2215" t="n"/>
      <c r="Y34" s="2215" t="n"/>
      <c r="Z34" s="2215" t="n"/>
      <c r="AA34" s="2215" t="n"/>
      <c r="AB34" s="563" t="n"/>
      <c r="AC34" s="2215" t="n"/>
      <c r="AD34" s="2215" t="n"/>
      <c r="AE34" s="2215" t="n"/>
      <c r="AF34" s="2215" t="n"/>
      <c r="AG34" s="2215" t="n"/>
      <c r="AH34" s="2215" t="n"/>
      <c r="AI34" s="2215" t="n"/>
      <c r="AJ34" s="2215" t="n"/>
      <c r="AK34" s="2215" t="n"/>
      <c r="AL34" s="2215" t="n"/>
      <c r="AM34" s="2215" t="n"/>
      <c r="AN34" s="2215" t="n"/>
      <c r="AO34" s="563" t="n"/>
    </row>
    <row customFormat="1" customHeight="1" ht="18" r="35" s="2213" spans="1:44">
      <c r="A35" s="2214" t="n"/>
      <c r="B35" s="563" t="n"/>
      <c r="C35" s="2215" t="n"/>
      <c r="D35" s="2215" t="n"/>
      <c r="E35" s="2215" t="n"/>
      <c r="F35" s="2215" t="n"/>
      <c r="G35" s="2215" t="n"/>
      <c r="H35" s="2215" t="n"/>
      <c r="I35" s="2215" t="n"/>
      <c r="J35" s="2215" t="n"/>
      <c r="K35" s="2215" t="n"/>
      <c r="L35" s="2215" t="n"/>
      <c r="M35" s="2215" t="n"/>
      <c r="N35" s="2215" t="n"/>
      <c r="O35" s="563" t="n"/>
      <c r="P35" s="2215" t="n"/>
      <c r="Q35" s="2215" t="n"/>
      <c r="R35" s="2215" t="n"/>
      <c r="S35" s="2215" t="n"/>
      <c r="T35" s="2215" t="n"/>
      <c r="U35" s="2215" t="n"/>
      <c r="V35" s="2215" t="n"/>
      <c r="W35" s="2215" t="n"/>
      <c r="X35" s="2215" t="n"/>
      <c r="Y35" s="2215" t="n"/>
      <c r="Z35" s="2215" t="n"/>
      <c r="AA35" s="2215" t="n"/>
      <c r="AB35" s="563" t="n"/>
      <c r="AC35" s="2215" t="n"/>
      <c r="AD35" s="2215" t="n"/>
      <c r="AE35" s="2215" t="n"/>
      <c r="AF35" s="2215" t="n"/>
      <c r="AG35" s="2215" t="n"/>
      <c r="AH35" s="2215" t="n"/>
      <c r="AI35" s="2215" t="n"/>
      <c r="AJ35" s="2215" t="n"/>
      <c r="AK35" s="2215" t="n"/>
      <c r="AL35" s="2215" t="n"/>
      <c r="AM35" s="2215" t="n"/>
      <c r="AN35" s="2215" t="n"/>
      <c r="AO35" s="563" t="n"/>
    </row>
    <row customFormat="1" customHeight="1" ht="18" r="36" s="2213" spans="1:44">
      <c r="A36" s="2214" t="n"/>
      <c r="B36" s="563" t="n"/>
      <c r="C36" s="2215" t="n"/>
      <c r="D36" s="2215" t="n"/>
      <c r="E36" s="2215" t="n"/>
      <c r="F36" s="2215" t="n"/>
      <c r="G36" s="2215" t="n"/>
      <c r="H36" s="2215" t="n"/>
      <c r="I36" s="2215" t="n"/>
      <c r="J36" s="2215" t="n"/>
      <c r="K36" s="2215" t="n"/>
      <c r="L36" s="2215" t="n"/>
      <c r="M36" s="2215" t="n"/>
      <c r="N36" s="2215" t="n"/>
      <c r="O36" s="563" t="n"/>
      <c r="P36" s="2215" t="n"/>
      <c r="Q36" s="2215" t="n"/>
      <c r="R36" s="2215" t="n"/>
      <c r="S36" s="2215" t="n"/>
      <c r="T36" s="2215" t="n"/>
      <c r="U36" s="2215" t="n"/>
      <c r="V36" s="2215" t="n"/>
      <c r="W36" s="2215" t="n"/>
      <c r="X36" s="2215" t="n"/>
      <c r="Y36" s="2215" t="n"/>
      <c r="Z36" s="2215" t="n"/>
      <c r="AA36" s="2215" t="n"/>
      <c r="AB36" s="563" t="n"/>
      <c r="AC36" s="2215" t="n"/>
      <c r="AD36" s="2215" t="n"/>
      <c r="AE36" s="2215" t="n"/>
      <c r="AF36" s="2215" t="n"/>
      <c r="AG36" s="2215" t="n"/>
      <c r="AH36" s="2215" t="n"/>
      <c r="AI36" s="2215" t="n"/>
      <c r="AJ36" s="2215" t="n"/>
      <c r="AK36" s="2215" t="n"/>
      <c r="AL36" s="2215" t="n"/>
      <c r="AM36" s="2215" t="n"/>
      <c r="AN36" s="2215" t="n"/>
      <c r="AO36" s="563" t="n"/>
    </row>
    <row customFormat="1" customHeight="1" ht="18" r="37" s="2213" spans="1:44">
      <c r="A37" s="2214" t="n"/>
      <c r="B37" s="563" t="n"/>
      <c r="C37" s="2215" t="n"/>
      <c r="D37" s="2215" t="n"/>
      <c r="E37" s="2215" t="n"/>
      <c r="F37" s="2215" t="n"/>
      <c r="G37" s="2215" t="n"/>
      <c r="H37" s="2215" t="n"/>
      <c r="I37" s="2215" t="n"/>
      <c r="J37" s="2215" t="n"/>
      <c r="K37" s="2215" t="n"/>
      <c r="L37" s="2215" t="n"/>
      <c r="M37" s="2215" t="n"/>
      <c r="N37" s="2215" t="n"/>
      <c r="O37" s="563" t="n"/>
      <c r="P37" s="2215" t="n"/>
      <c r="Q37" s="2215" t="n"/>
      <c r="R37" s="2215" t="n"/>
      <c r="S37" s="2215" t="n"/>
      <c r="T37" s="2215" t="n"/>
      <c r="U37" s="2215" t="n"/>
      <c r="V37" s="2215" t="n"/>
      <c r="W37" s="2215" t="n"/>
      <c r="X37" s="2215" t="n"/>
      <c r="Y37" s="2215" t="n"/>
      <c r="Z37" s="2215" t="n"/>
      <c r="AA37" s="2215" t="n"/>
      <c r="AB37" s="563" t="n"/>
      <c r="AC37" s="2215" t="n"/>
      <c r="AD37" s="2215" t="n"/>
      <c r="AE37" s="2215" t="n"/>
      <c r="AF37" s="2215" t="n"/>
      <c r="AG37" s="2215" t="n"/>
      <c r="AH37" s="2215" t="n"/>
      <c r="AI37" s="2215" t="n"/>
      <c r="AJ37" s="2215" t="n"/>
      <c r="AK37" s="2215" t="n"/>
      <c r="AL37" s="2215" t="n"/>
      <c r="AM37" s="2215" t="n"/>
      <c r="AN37" s="2215" t="n"/>
      <c r="AO37" s="563" t="n"/>
    </row>
    <row customFormat="1" customHeight="1" ht="18" r="38" s="2213" spans="1:44">
      <c r="A38" s="2214" t="n"/>
      <c r="B38" s="563" t="n"/>
      <c r="C38" s="2215" t="n"/>
      <c r="D38" s="2215" t="n"/>
      <c r="E38" s="2215" t="n"/>
      <c r="F38" s="2215" t="n"/>
      <c r="G38" s="2215" t="n"/>
      <c r="H38" s="2215" t="n"/>
      <c r="I38" s="2215" t="n"/>
      <c r="J38" s="2215" t="n"/>
      <c r="K38" s="2215" t="n"/>
      <c r="L38" s="2215" t="n"/>
      <c r="M38" s="2215" t="n"/>
      <c r="N38" s="2215" t="n"/>
      <c r="O38" s="563" t="n"/>
      <c r="P38" s="2215" t="n"/>
      <c r="Q38" s="2215" t="n"/>
      <c r="R38" s="2215" t="n"/>
      <c r="S38" s="2215" t="n"/>
      <c r="T38" s="2215" t="n"/>
      <c r="U38" s="2215" t="n"/>
      <c r="V38" s="2215" t="n"/>
      <c r="W38" s="2215" t="n"/>
      <c r="X38" s="2215" t="n"/>
      <c r="Y38" s="2215" t="n"/>
      <c r="Z38" s="2215" t="n"/>
      <c r="AA38" s="2215" t="n"/>
      <c r="AB38" s="563" t="n"/>
      <c r="AC38" s="2215" t="n"/>
      <c r="AD38" s="2215" t="n"/>
      <c r="AE38" s="2215" t="n"/>
      <c r="AF38" s="2215" t="n"/>
      <c r="AG38" s="2215" t="n"/>
      <c r="AH38" s="2215" t="n"/>
      <c r="AI38" s="2215" t="n"/>
      <c r="AJ38" s="2215" t="n"/>
      <c r="AK38" s="2215" t="n"/>
      <c r="AL38" s="2215" t="n"/>
      <c r="AM38" s="2215" t="n"/>
      <c r="AN38" s="2215" t="n"/>
      <c r="AO38" s="563" t="n"/>
    </row>
    <row customFormat="1" customHeight="1" ht="18.75" r="39" s="2213" spans="1:44" thickBot="1">
      <c r="A39" s="2214" t="n"/>
      <c r="B39" s="563" t="n"/>
      <c r="C39" s="2215" t="n"/>
      <c r="D39" s="2215" t="n"/>
      <c r="E39" s="2298" t="n"/>
      <c r="F39" s="2298" t="n"/>
      <c r="G39" s="2298" t="n"/>
      <c r="H39" s="2298" t="n"/>
      <c r="I39" s="2298" t="n"/>
      <c r="J39" s="2298" t="n"/>
      <c r="K39" s="2298" t="n"/>
      <c r="L39" s="2298" t="n"/>
      <c r="M39" s="2298" t="n"/>
      <c r="N39" s="2298" t="n"/>
      <c r="O39" s="563" t="n"/>
      <c r="P39" s="2215" t="n"/>
      <c r="Q39" s="2215" t="n"/>
      <c r="R39" s="2215" t="n"/>
      <c r="S39" s="2298" t="n"/>
      <c r="T39" s="2298" t="n"/>
      <c r="U39" s="2298" t="n"/>
      <c r="V39" s="2298" t="n"/>
      <c r="W39" s="2298" t="n"/>
      <c r="X39" s="2298" t="n"/>
      <c r="Y39" s="2298" t="n"/>
      <c r="Z39" s="2298" t="n"/>
      <c r="AA39" s="2298" t="n"/>
      <c r="AB39" s="563" t="n"/>
      <c r="AC39" s="2215" t="n"/>
      <c r="AD39" s="2215" t="n"/>
      <c r="AE39" s="2215" t="n"/>
      <c r="AF39" s="2298" t="n"/>
      <c r="AG39" s="2298" t="n"/>
      <c r="AH39" s="2298" t="n"/>
      <c r="AI39" s="2298" t="n"/>
      <c r="AJ39" s="2298" t="n"/>
      <c r="AK39" s="2298" t="n"/>
      <c r="AL39" s="2298" t="n"/>
      <c r="AM39" s="2298" t="n"/>
      <c r="AN39" s="2298" t="n"/>
      <c r="AO39" s="563" t="n"/>
    </row>
    <row customFormat="1" r="40" s="2216" spans="1:44" thickTop="1">
      <c r="A40" s="2217" t="n">
        <v>12272</v>
      </c>
      <c r="B40" s="2177" t="n"/>
      <c r="C40" s="2299" t="s">
        <v>89</v>
      </c>
      <c r="E40" s="2300" t="n"/>
      <c r="F40" s="2300" t="n"/>
      <c r="G40" s="2300" t="n"/>
      <c r="H40" s="2300" t="n"/>
      <c r="I40" s="2301" t="n"/>
      <c r="J40" s="2300" t="n"/>
      <c r="K40" s="2300" t="n"/>
      <c r="L40" s="2301" t="n"/>
      <c r="M40" s="2300" t="n"/>
      <c r="N40" s="2302" t="n"/>
      <c r="O40" s="2221" t="n"/>
      <c r="P40" s="2218">
        <f>$P$2</f>
        <v/>
      </c>
      <c r="Q40" s="2219" t="n"/>
      <c r="R40" s="2303" t="n"/>
      <c r="S40" s="2304" t="n"/>
      <c r="T40" s="2305" t="n"/>
      <c r="U40" s="2305" t="n"/>
      <c r="V40" s="2305" t="n"/>
      <c r="W40" s="2305" t="n"/>
      <c r="X40" s="2305" t="n"/>
      <c r="Y40" s="2305" t="n"/>
      <c r="Z40" s="2305" t="n"/>
      <c r="AA40" s="2306" t="n"/>
      <c r="AB40" s="2221" t="n"/>
      <c r="AC40" s="2222">
        <f>$AC$2</f>
        <v/>
      </c>
      <c r="AD40" s="2223" t="n"/>
      <c r="AE40" s="2224" t="n"/>
      <c r="AF40" s="2307" t="n"/>
      <c r="AG40" s="2307" t="n"/>
      <c r="AH40" s="2307" t="n"/>
      <c r="AI40" s="2307" t="n"/>
      <c r="AJ40" s="2307" t="n"/>
      <c r="AK40" s="2307" t="n"/>
      <c r="AL40" s="2307" t="n"/>
      <c r="AM40" s="2307" t="n"/>
      <c r="AN40" s="2307" t="n"/>
      <c r="AO40" s="2177" t="n"/>
      <c r="AP40" s="2225" t="n"/>
    </row>
    <row customFormat="1" customHeight="1" ht="30.75" r="41" s="2226" spans="1:44">
      <c r="B41" s="2182" t="n"/>
      <c r="C41" s="2183" t="s">
        <v>62</v>
      </c>
      <c r="D41" s="2184" t="s">
        <v>63</v>
      </c>
      <c r="E41" s="2281" t="s">
        <v>64</v>
      </c>
      <c r="F41" s="2282" t="s">
        <v>174</v>
      </c>
      <c r="G41" s="2184" t="s">
        <v>66</v>
      </c>
      <c r="H41" s="2281" t="s">
        <v>67</v>
      </c>
      <c r="I41" s="2282" t="s">
        <v>69</v>
      </c>
      <c r="J41" s="2184" t="s">
        <v>70</v>
      </c>
      <c r="K41" s="2281" t="s">
        <v>71</v>
      </c>
      <c r="L41" s="2283" t="s">
        <v>72</v>
      </c>
      <c r="M41" s="2184" t="s">
        <v>73</v>
      </c>
      <c r="N41" s="2284" t="s">
        <v>74</v>
      </c>
      <c r="O41" s="2182" t="n"/>
      <c r="P41" s="2183">
        <f>C41</f>
        <v/>
      </c>
      <c r="Q41" s="2184">
        <f>D41</f>
        <v/>
      </c>
      <c r="R41" s="2281">
        <f>E41</f>
        <v/>
      </c>
      <c r="S41" s="2282" t="s">
        <v>174</v>
      </c>
      <c r="T41" s="2184" t="s">
        <v>66</v>
      </c>
      <c r="U41" s="2281" t="s">
        <v>67</v>
      </c>
      <c r="V41" s="2283" t="s">
        <v>69</v>
      </c>
      <c r="W41" s="2184" t="s">
        <v>70</v>
      </c>
      <c r="X41" s="2281" t="s">
        <v>71</v>
      </c>
      <c r="Y41" s="2283" t="s">
        <v>72</v>
      </c>
      <c r="Z41" s="2184" t="s">
        <v>73</v>
      </c>
      <c r="AA41" s="2185" t="s">
        <v>74</v>
      </c>
      <c r="AB41" s="2285" t="n"/>
      <c r="AC41" s="2183" t="s">
        <v>62</v>
      </c>
      <c r="AD41" s="2184" t="s">
        <v>63</v>
      </c>
      <c r="AE41" s="2281" t="s">
        <v>64</v>
      </c>
      <c r="AF41" s="2282" t="s">
        <v>174</v>
      </c>
      <c r="AG41" s="2184" t="s">
        <v>66</v>
      </c>
      <c r="AH41" s="2281" t="s">
        <v>67</v>
      </c>
      <c r="AI41" s="2282" t="s">
        <v>69</v>
      </c>
      <c r="AJ41" s="2184" t="s">
        <v>70</v>
      </c>
      <c r="AK41" s="2281" t="s">
        <v>71</v>
      </c>
      <c r="AL41" s="2283" t="s">
        <v>72</v>
      </c>
      <c r="AM41" s="2184" t="s">
        <v>73</v>
      </c>
      <c r="AN41" s="2284" t="s">
        <v>74</v>
      </c>
      <c r="AO41" s="2182" t="n"/>
    </row>
    <row customFormat="1" r="42" s="2173" spans="1:44">
      <c r="A42" s="2186" t="s">
        <v>156</v>
      </c>
      <c r="B42" s="2187" t="n"/>
      <c r="C42" s="2188" t="n"/>
      <c r="D42" s="2189" t="n"/>
      <c r="E42" s="2189" t="n"/>
      <c r="F42" s="2286" t="n"/>
      <c r="G42" s="2189" t="n"/>
      <c r="H42" s="2189" t="n"/>
      <c r="I42" s="2206" t="n"/>
      <c r="J42" s="2206" t="n"/>
      <c r="K42" s="2287" t="n"/>
      <c r="L42" s="2287" t="n"/>
      <c r="M42" s="2287" t="n"/>
      <c r="N42" s="2288" t="n"/>
      <c r="O42" s="2187" t="n"/>
      <c r="P42" s="2188">
        <f>PL!D27</f>
        <v/>
      </c>
      <c r="Q42" s="2189">
        <f>PL!H27</f>
        <v/>
      </c>
      <c r="R42" s="2189">
        <f>PL!L27</f>
        <v/>
      </c>
      <c r="S42" s="2189">
        <f>PL!P27</f>
        <v/>
      </c>
      <c r="T42" s="2189">
        <f>PL!T27</f>
        <v/>
      </c>
      <c r="U42" s="2189">
        <f>PL!X27</f>
        <v/>
      </c>
      <c r="V42" s="2189">
        <f>PL!AB27</f>
        <v/>
      </c>
      <c r="W42" s="2189">
        <f>PL!AF27</f>
        <v/>
      </c>
      <c r="X42" s="2189">
        <f>PL!AJ27</f>
        <v/>
      </c>
      <c r="Y42" s="2189">
        <f>PL!AN27</f>
        <v/>
      </c>
      <c r="Z42" s="2189">
        <f>PL!AR27</f>
        <v/>
      </c>
      <c r="AA42" s="2190">
        <f>PL!AV27</f>
        <v/>
      </c>
      <c r="AB42" s="2288" t="n"/>
      <c r="AC42" s="2188" t="n"/>
      <c r="AD42" s="2189" t="n"/>
      <c r="AE42" s="2189" t="n"/>
      <c r="AF42" s="2287" t="n"/>
      <c r="AG42" s="2287" t="n"/>
      <c r="AH42" s="2287" t="n"/>
      <c r="AI42" s="2287" t="n"/>
      <c r="AJ42" s="2287" t="n"/>
      <c r="AK42" s="2287" t="n"/>
      <c r="AL42" s="2287" t="n"/>
      <c r="AM42" s="2287" t="n"/>
      <c r="AN42" s="2289" t="n"/>
      <c r="AO42" s="2187" t="n"/>
      <c r="AP42" s="576">
        <f>(R42-Q42)/Q42</f>
        <v/>
      </c>
      <c r="AQ42" s="2227" t="n"/>
      <c r="AR42" s="2228" t="n"/>
    </row>
    <row customFormat="1" r="43" s="2173" spans="1:44">
      <c r="A43" s="2186" t="s">
        <v>157</v>
      </c>
      <c r="B43" s="2187" t="n"/>
      <c r="C43" s="2188" t="n"/>
      <c r="D43" s="2189" t="n"/>
      <c r="E43" s="2189" t="n"/>
      <c r="F43" s="2286" t="n"/>
      <c r="G43" s="2189" t="n"/>
      <c r="H43" s="2189" t="n"/>
      <c r="I43" s="2189" t="n"/>
      <c r="J43" s="2189" t="n"/>
      <c r="K43" s="2189" t="n"/>
      <c r="L43" s="2189" t="n"/>
      <c r="M43" s="2189" t="n"/>
      <c r="N43" s="2190" t="n"/>
      <c r="O43" s="2187" t="n"/>
      <c r="P43" s="2188">
        <f>PL!D34</f>
        <v/>
      </c>
      <c r="Q43" s="2308">
        <f>PL!H34</f>
        <v/>
      </c>
      <c r="R43" s="2189">
        <f>PL!L34</f>
        <v/>
      </c>
      <c r="S43" s="2309">
        <f>PL!P34</f>
        <v/>
      </c>
      <c r="T43" s="2287">
        <f>PL!T34</f>
        <v/>
      </c>
      <c r="U43" s="2287">
        <f>PL!X34</f>
        <v/>
      </c>
      <c r="V43" s="2287">
        <f>PL!AB34</f>
        <v/>
      </c>
      <c r="W43" s="2287">
        <f>PL!AF34</f>
        <v/>
      </c>
      <c r="X43" s="2287">
        <f>PL!AJ34</f>
        <v/>
      </c>
      <c r="Y43" s="2287">
        <f>PL!AN34</f>
        <v/>
      </c>
      <c r="Z43" s="2287">
        <f>PL!AR34</f>
        <v/>
      </c>
      <c r="AA43" s="2289">
        <f>PL!AV34</f>
        <v/>
      </c>
      <c r="AB43" s="2288" t="n"/>
      <c r="AC43" s="2188" t="n"/>
      <c r="AD43" s="2189" t="n"/>
      <c r="AE43" s="2189" t="n"/>
      <c r="AF43" s="2189" t="n"/>
      <c r="AG43" s="2189" t="n"/>
      <c r="AH43" s="2189" t="n"/>
      <c r="AI43" s="2189" t="n"/>
      <c r="AJ43" s="2189" t="n"/>
      <c r="AK43" s="2189" t="n"/>
      <c r="AL43" s="2189" t="n"/>
      <c r="AM43" s="2189" t="n"/>
      <c r="AN43" s="2190" t="n"/>
      <c r="AO43" s="2187" t="n"/>
      <c r="AP43" s="576">
        <f>(R43-Q43)/Q43</f>
        <v/>
      </c>
      <c r="AQ43" s="2227" t="n"/>
      <c r="AR43" s="2228" t="n"/>
    </row>
    <row customFormat="1" r="44" s="2173" spans="1:44">
      <c r="A44" s="2186" t="s">
        <v>158</v>
      </c>
      <c r="B44" s="2187" t="n"/>
      <c r="C44" s="2188" t="n"/>
      <c r="D44" s="2189" t="n"/>
      <c r="E44" s="2189" t="n"/>
      <c r="F44" s="2286" t="n"/>
      <c r="G44" s="2189" t="n"/>
      <c r="H44" s="2189" t="n"/>
      <c r="I44" s="2287" t="n"/>
      <c r="J44" s="2287" t="n"/>
      <c r="K44" s="2287" t="n"/>
      <c r="L44" s="2287" t="n"/>
      <c r="M44" s="2287" t="n"/>
      <c r="N44" s="2289" t="n"/>
      <c r="O44" s="2187" t="n"/>
      <c r="P44" s="2188">
        <f>PL!D30</f>
        <v/>
      </c>
      <c r="Q44" s="2189">
        <f>PL!H30</f>
        <v/>
      </c>
      <c r="R44" s="2189">
        <f>PL!L30</f>
        <v/>
      </c>
      <c r="S44" s="2189">
        <f>PL!P30</f>
        <v/>
      </c>
      <c r="T44" s="2189">
        <f>PL!T30</f>
        <v/>
      </c>
      <c r="U44" s="2189">
        <f>PL!X30</f>
        <v/>
      </c>
      <c r="V44" s="2189">
        <f>PL!AB30</f>
        <v/>
      </c>
      <c r="W44" s="2189">
        <f>PL!AF30</f>
        <v/>
      </c>
      <c r="X44" s="2189">
        <f>PL!AJ30</f>
        <v/>
      </c>
      <c r="Y44" s="2189">
        <f>PL!AN30</f>
        <v/>
      </c>
      <c r="Z44" s="2189">
        <f>PL!AR30</f>
        <v/>
      </c>
      <c r="AA44" s="2190">
        <f>PL!AV30</f>
        <v/>
      </c>
      <c r="AB44" s="2288" t="n"/>
      <c r="AC44" s="2188" t="n"/>
      <c r="AD44" s="2189" t="n"/>
      <c r="AE44" s="2189" t="n"/>
      <c r="AF44" s="2287" t="n"/>
      <c r="AG44" s="2287" t="n"/>
      <c r="AH44" s="2287" t="n"/>
      <c r="AI44" s="2287" t="n"/>
      <c r="AJ44" s="2287" t="n"/>
      <c r="AK44" s="2287" t="n"/>
      <c r="AL44" s="2287" t="n"/>
      <c r="AM44" s="2287" t="n"/>
      <c r="AN44" s="2289" t="n"/>
      <c r="AO44" s="2187" t="n"/>
      <c r="AP44" s="576">
        <f>(R44-Q44)/Q44</f>
        <v/>
      </c>
      <c r="AQ44" s="2227" t="n"/>
      <c r="AR44" s="2228" t="n"/>
    </row>
    <row customFormat="1" r="45" s="2173" spans="1:44">
      <c r="A45" s="2186" t="s">
        <v>159</v>
      </c>
      <c r="B45" s="2187" t="n"/>
      <c r="C45" s="2188" t="n"/>
      <c r="D45" s="2189" t="n"/>
      <c r="E45" s="2189" t="n"/>
      <c r="F45" s="2286" t="n"/>
      <c r="G45" s="2189" t="n"/>
      <c r="H45" s="2189" t="n"/>
      <c r="I45" s="2189" t="n"/>
      <c r="J45" s="2189" t="n"/>
      <c r="K45" s="2189" t="n"/>
      <c r="L45" s="2189" t="n"/>
      <c r="M45" s="2189" t="n"/>
      <c r="N45" s="2190" t="n"/>
      <c r="O45" s="2187" t="n"/>
      <c r="P45" s="2310">
        <f>PL!D29+PL!D40</f>
        <v/>
      </c>
      <c r="Q45" s="2192">
        <f>PL!H29+PL!H40</f>
        <v/>
      </c>
      <c r="R45" s="2192">
        <f>PL!L29+PL!L40</f>
        <v/>
      </c>
      <c r="S45" s="2203">
        <f>PL!P29+PL!P40</f>
        <v/>
      </c>
      <c r="T45" s="2192">
        <f>PL!T29+PL!T40</f>
        <v/>
      </c>
      <c r="U45" s="2203">
        <f>PL!X29+PL!X40</f>
        <v/>
      </c>
      <c r="V45" s="2192">
        <f>PL!AB29+PL!AB40</f>
        <v/>
      </c>
      <c r="W45" s="2192">
        <f>PL!AF29+PL!AF40</f>
        <v/>
      </c>
      <c r="X45" s="2192">
        <f>PL!AJ29+PL!AJ40</f>
        <v/>
      </c>
      <c r="Y45" s="2192">
        <f>PL!AN29+PL!AN40</f>
        <v/>
      </c>
      <c r="Z45" s="2203">
        <f>PL!AR29+PL!AR40</f>
        <v/>
      </c>
      <c r="AA45" s="2145">
        <f>PL!AV29+PL!AV40</f>
        <v/>
      </c>
      <c r="AB45" s="2288" t="n"/>
      <c r="AC45" s="2188" t="n"/>
      <c r="AD45" s="2189" t="n"/>
      <c r="AE45" s="2189" t="n"/>
      <c r="AF45" s="2189" t="n"/>
      <c r="AG45" s="2189" t="n"/>
      <c r="AH45" s="2189" t="n"/>
      <c r="AI45" s="2189" t="n"/>
      <c r="AJ45" s="2189" t="n"/>
      <c r="AK45" s="2189" t="n"/>
      <c r="AL45" s="2189" t="n"/>
      <c r="AM45" s="2189" t="n"/>
      <c r="AN45" s="2190" t="n"/>
      <c r="AO45" s="2187" t="n"/>
      <c r="AP45" s="576">
        <f>(R45-Q45)/Q45</f>
        <v/>
      </c>
      <c r="AQ45" s="2227" t="n"/>
      <c r="AR45" s="2228" t="n"/>
    </row>
    <row customFormat="1" r="46" s="2173" spans="1:44">
      <c r="A46" s="2186" t="s">
        <v>160</v>
      </c>
      <c r="B46" s="2187" t="n"/>
      <c r="C46" s="2188" t="n"/>
      <c r="D46" s="2189" t="n"/>
      <c r="E46" s="2189" t="n"/>
      <c r="F46" s="2286" t="n"/>
      <c r="G46" s="2189" t="n"/>
      <c r="H46" s="2189" t="n"/>
      <c r="I46" s="2287" t="n"/>
      <c r="J46" s="2287" t="n"/>
      <c r="K46" s="2287" t="n"/>
      <c r="L46" s="2287" t="n"/>
      <c r="M46" s="2287" t="n"/>
      <c r="N46" s="2289" t="n"/>
      <c r="O46" s="2187" t="n"/>
      <c r="P46" s="2188">
        <f>PL!D31</f>
        <v/>
      </c>
      <c r="Q46" s="2189">
        <f>PL!H31</f>
        <v/>
      </c>
      <c r="R46" s="2189">
        <f>PL!L31</f>
        <v/>
      </c>
      <c r="S46" s="2189">
        <f>PL!P31</f>
        <v/>
      </c>
      <c r="T46" s="2189">
        <f>PL!T31</f>
        <v/>
      </c>
      <c r="U46" s="2189">
        <f>PL!X31</f>
        <v/>
      </c>
      <c r="V46" s="2189">
        <f>PL!AB31</f>
        <v/>
      </c>
      <c r="W46" s="2189">
        <f>PL!AF31</f>
        <v/>
      </c>
      <c r="X46" s="2189">
        <f>PL!AJ31</f>
        <v/>
      </c>
      <c r="Y46" s="2189">
        <f>PL!AN31</f>
        <v/>
      </c>
      <c r="Z46" s="2189">
        <f>PL!AR31</f>
        <v/>
      </c>
      <c r="AA46" s="2189">
        <f>PL!AV31</f>
        <v/>
      </c>
      <c r="AB46" s="2288" t="n"/>
      <c r="AC46" s="2188" t="n"/>
      <c r="AD46" s="2189" t="n"/>
      <c r="AE46" s="2189" t="n"/>
      <c r="AF46" s="2287" t="n"/>
      <c r="AG46" s="2287" t="n"/>
      <c r="AH46" s="2287" t="n"/>
      <c r="AI46" s="2287" t="n"/>
      <c r="AJ46" s="2287" t="n"/>
      <c r="AK46" s="2287" t="n"/>
      <c r="AL46" s="2287" t="n"/>
      <c r="AM46" s="2287" t="n"/>
      <c r="AN46" s="2289" t="n"/>
      <c r="AO46" s="2187" t="n"/>
      <c r="AP46" s="576">
        <f>(R46-Q46)/Q46</f>
        <v/>
      </c>
      <c r="AQ46" s="2227" t="n"/>
      <c r="AR46" s="2228" t="n"/>
    </row>
    <row customFormat="1" r="47" s="2173" spans="1:44">
      <c r="A47" s="2186" t="s">
        <v>161</v>
      </c>
      <c r="B47" s="2187" t="n"/>
      <c r="C47" s="2188" t="n"/>
      <c r="D47" s="2189" t="n"/>
      <c r="E47" s="2189" t="n"/>
      <c r="F47" s="2286" t="n"/>
      <c r="G47" s="2189" t="n"/>
      <c r="H47" s="2189" t="n"/>
      <c r="I47" s="2189" t="n"/>
      <c r="J47" s="2189" t="n"/>
      <c r="K47" s="2189" t="n"/>
      <c r="L47" s="2189" t="n"/>
      <c r="M47" s="2189" t="n"/>
      <c r="N47" s="2190" t="n"/>
      <c r="O47" s="2187" t="n"/>
      <c r="P47" s="2188">
        <f>PL!D35</f>
        <v/>
      </c>
      <c r="Q47" s="2189">
        <f>PL!H35</f>
        <v/>
      </c>
      <c r="R47" s="2189">
        <f>PL!L35</f>
        <v/>
      </c>
      <c r="S47" s="2206">
        <f>PL!P35</f>
        <v/>
      </c>
      <c r="T47" s="2287">
        <f>PL!T35</f>
        <v/>
      </c>
      <c r="U47" s="2287">
        <f>PL!T35</f>
        <v/>
      </c>
      <c r="V47" s="2287">
        <f>PL!AB35</f>
        <v/>
      </c>
      <c r="W47" s="2287">
        <f>PL!AF35</f>
        <v/>
      </c>
      <c r="X47" s="2287">
        <f>PL!AJ35</f>
        <v/>
      </c>
      <c r="Y47" s="2287">
        <f>PL!AN35</f>
        <v/>
      </c>
      <c r="Z47" s="2287">
        <f>PL!AR35</f>
        <v/>
      </c>
      <c r="AA47" s="2289">
        <f>PL!AV35</f>
        <v/>
      </c>
      <c r="AB47" s="2288" t="n"/>
      <c r="AC47" s="2188" t="n"/>
      <c r="AD47" s="2189" t="n"/>
      <c r="AE47" s="2189" t="n"/>
      <c r="AF47" s="2189" t="n"/>
      <c r="AG47" s="2189" t="n"/>
      <c r="AH47" s="2189" t="n"/>
      <c r="AI47" s="2189" t="n"/>
      <c r="AJ47" s="2189" t="n"/>
      <c r="AK47" s="2189" t="n"/>
      <c r="AL47" s="2189" t="n"/>
      <c r="AM47" s="2189" t="n"/>
      <c r="AN47" s="2190" t="n"/>
      <c r="AO47" s="2187" t="n"/>
      <c r="AP47" s="576" t="n"/>
      <c r="AR47" s="2228" t="n"/>
    </row>
    <row customFormat="1" r="48" s="2173" spans="1:44">
      <c r="A48" s="2186" t="s">
        <v>162</v>
      </c>
      <c r="B48" s="2187" t="n"/>
      <c r="C48" s="2188" t="n"/>
      <c r="D48" s="2189" t="n"/>
      <c r="E48" s="2189" t="n"/>
      <c r="F48" s="2286" t="n"/>
      <c r="G48" s="2189" t="n"/>
      <c r="H48" s="2189" t="n"/>
      <c r="I48" s="2287" t="n"/>
      <c r="J48" s="2287" t="n"/>
      <c r="K48" s="2287" t="n"/>
      <c r="L48" s="2287" t="n"/>
      <c r="M48" s="2287" t="n"/>
      <c r="N48" s="2190" t="n"/>
      <c r="O48" s="2187" t="n"/>
      <c r="P48" s="2188">
        <f>PL!D36</f>
        <v/>
      </c>
      <c r="Q48" s="2189">
        <f>PL!H36</f>
        <v/>
      </c>
      <c r="R48" s="2189">
        <f>PL!L36</f>
        <v/>
      </c>
      <c r="S48" s="2189">
        <f>PL!P36</f>
        <v/>
      </c>
      <c r="T48" s="2189">
        <f>PL!T36</f>
        <v/>
      </c>
      <c r="U48" s="2189">
        <f>PL!X36</f>
        <v/>
      </c>
      <c r="V48" s="2189">
        <f>PL!AB36</f>
        <v/>
      </c>
      <c r="W48" s="2189">
        <f>PL!AF36</f>
        <v/>
      </c>
      <c r="X48" s="2189">
        <f>PL!AJ36</f>
        <v/>
      </c>
      <c r="Y48" s="2189">
        <f>PL!AN36</f>
        <v/>
      </c>
      <c r="Z48" s="2189">
        <f>PL!AR36</f>
        <v/>
      </c>
      <c r="AA48" s="2190">
        <f>PL!AV36</f>
        <v/>
      </c>
      <c r="AB48" s="2288" t="n"/>
      <c r="AC48" s="2188" t="n"/>
      <c r="AD48" s="2189" t="n"/>
      <c r="AE48" s="2189" t="n"/>
      <c r="AF48" s="2287" t="n"/>
      <c r="AG48" s="2287" t="n"/>
      <c r="AH48" s="2287" t="n"/>
      <c r="AI48" s="2287" t="n"/>
      <c r="AJ48" s="2287" t="n"/>
      <c r="AK48" s="2287" t="n"/>
      <c r="AL48" s="2287" t="n"/>
      <c r="AM48" s="2287" t="n"/>
      <c r="AN48" s="2289" t="n"/>
      <c r="AO48" s="2187" t="n"/>
      <c r="AP48" s="576">
        <f>(R48-Q48)/Q48</f>
        <v/>
      </c>
      <c r="AQ48" s="2227" t="n"/>
      <c r="AR48" s="2228" t="n"/>
    </row>
    <row customFormat="1" r="49" s="2216" spans="1:44">
      <c r="A49" s="2186" t="s">
        <v>163</v>
      </c>
      <c r="B49" s="2187" t="n"/>
      <c r="C49" s="2188" t="n"/>
      <c r="D49" s="2189" t="n"/>
      <c r="E49" s="2189" t="n"/>
      <c r="F49" s="2286" t="n"/>
      <c r="G49" s="2189" t="n"/>
      <c r="H49" s="2189" t="n"/>
      <c r="I49" s="2189" t="n"/>
      <c r="J49" s="2189" t="n"/>
      <c r="K49" s="2189" t="n"/>
      <c r="L49" s="2189" t="n"/>
      <c r="M49" s="2189" t="n"/>
      <c r="N49" s="2190" t="n"/>
      <c r="O49" s="2187" t="n"/>
      <c r="P49" s="2188">
        <f>PL!D32</f>
        <v/>
      </c>
      <c r="Q49" s="2189">
        <f>PL!H32</f>
        <v/>
      </c>
      <c r="R49" s="2189">
        <f>PL!L32</f>
        <v/>
      </c>
      <c r="S49" s="2206">
        <f>PL!P32</f>
        <v/>
      </c>
      <c r="T49" s="2287">
        <f>PL!T32</f>
        <v/>
      </c>
      <c r="U49" s="2287">
        <f>PL!X32</f>
        <v/>
      </c>
      <c r="V49" s="2287">
        <f>PL!AB32</f>
        <v/>
      </c>
      <c r="W49" s="2287">
        <f>PL!AF32</f>
        <v/>
      </c>
      <c r="X49" s="2287">
        <f>PL!AJ32</f>
        <v/>
      </c>
      <c r="Y49" s="2287">
        <f>PL!AN32</f>
        <v/>
      </c>
      <c r="Z49" s="2287">
        <f>PL!AR32</f>
        <v/>
      </c>
      <c r="AA49" s="2289">
        <f>PL!AV32</f>
        <v/>
      </c>
      <c r="AB49" s="2288" t="n"/>
      <c r="AC49" s="2188" t="n"/>
      <c r="AD49" s="2189" t="n"/>
      <c r="AE49" s="2189" t="n"/>
      <c r="AF49" s="2189" t="n"/>
      <c r="AG49" s="2189" t="n"/>
      <c r="AH49" s="2189" t="n"/>
      <c r="AI49" s="2189" t="n"/>
      <c r="AJ49" s="2189" t="n"/>
      <c r="AK49" s="2189" t="n"/>
      <c r="AL49" s="2189" t="n"/>
      <c r="AM49" s="2189" t="n"/>
      <c r="AN49" s="2190" t="n"/>
      <c r="AO49" s="2187" t="n"/>
      <c r="AP49" s="576">
        <f>(R49-Q49)/Q49</f>
        <v/>
      </c>
      <c r="AQ49" s="2227" t="n"/>
      <c r="AR49" s="2228" t="n"/>
    </row>
    <row customFormat="1" r="50" s="2173" spans="1:44">
      <c r="A50" s="2311" t="s">
        <v>164</v>
      </c>
      <c r="B50" s="2312" t="n"/>
      <c r="C50" s="2313" t="n"/>
      <c r="D50" s="2189" t="n"/>
      <c r="E50" s="2189" t="n"/>
      <c r="F50" s="2286" t="n"/>
      <c r="G50" s="2189" t="n"/>
      <c r="H50" s="2189" t="n"/>
      <c r="I50" s="2314" t="n"/>
      <c r="J50" s="2314" t="n"/>
      <c r="K50" s="2314" t="n"/>
      <c r="L50" s="2314" t="n"/>
      <c r="M50" s="2314" t="n"/>
      <c r="N50" s="2315" t="n"/>
      <c r="O50" s="2312" t="n"/>
      <c r="P50" s="2313">
        <f>PL!D33+PL!D28</f>
        <v/>
      </c>
      <c r="Q50" s="2189">
        <f>PL!H33+PL!H28</f>
        <v/>
      </c>
      <c r="R50" s="2189">
        <f>PL!L33+PL!L28</f>
        <v/>
      </c>
      <c r="S50" s="2189">
        <f>PL!P33+PL!P28</f>
        <v/>
      </c>
      <c r="T50" s="2189">
        <f>PL!T33+PL!T28</f>
        <v/>
      </c>
      <c r="U50" s="2189">
        <f>PL!X33+PL!X28</f>
        <v/>
      </c>
      <c r="V50" s="2189">
        <f>PL!AB33+PL!AB28</f>
        <v/>
      </c>
      <c r="W50" s="2189">
        <f>PL!AF33+PL!AF28</f>
        <v/>
      </c>
      <c r="X50" s="2189">
        <f>PL!AJ33+PL!AJ28</f>
        <v/>
      </c>
      <c r="Y50" s="2189">
        <f>PL!AN33+PL!AN28</f>
        <v/>
      </c>
      <c r="Z50" s="2189">
        <f>PL!AR33+PL!AR28</f>
        <v/>
      </c>
      <c r="AA50" s="2190">
        <f>PL!AV33+PL!AV28</f>
        <v/>
      </c>
      <c r="AB50" s="2316" t="n"/>
      <c r="AC50" s="2188" t="n"/>
      <c r="AD50" s="2189" t="n"/>
      <c r="AE50" s="2189" t="n"/>
      <c r="AF50" s="2287" t="n"/>
      <c r="AG50" s="2287" t="n"/>
      <c r="AH50" s="2287" t="n"/>
      <c r="AI50" s="2287" t="n"/>
      <c r="AJ50" s="2287" t="n"/>
      <c r="AK50" s="2287" t="n"/>
      <c r="AL50" s="2287" t="n"/>
      <c r="AM50" s="2287" t="n"/>
      <c r="AN50" s="2289" t="n"/>
      <c r="AO50" s="2187" t="n"/>
      <c r="AP50" s="576">
        <f>(R50-Q50)/Q50</f>
        <v/>
      </c>
      <c r="AQ50" s="2231" t="n"/>
      <c r="AR50" s="2228" t="n"/>
    </row>
    <row customFormat="1" r="51" s="2173" spans="1:44">
      <c r="A51" s="2317" t="s">
        <v>165</v>
      </c>
      <c r="B51" s="2195" t="n"/>
      <c r="C51" s="2318" t="n"/>
      <c r="D51" s="2319" t="n"/>
      <c r="E51" s="2319" t="n"/>
      <c r="F51" s="2320" t="n"/>
      <c r="G51" s="2319" t="n"/>
      <c r="H51" s="2319" t="n"/>
      <c r="I51" s="2319" t="n"/>
      <c r="J51" s="2319" t="n"/>
      <c r="K51" s="2319" t="n"/>
      <c r="L51" s="2319" t="n"/>
      <c r="M51" s="2319" t="n"/>
      <c r="N51" s="2198" t="n"/>
      <c r="O51" s="2291" t="n"/>
      <c r="P51" s="2321">
        <f>PL!D41+PL!D42+PL!D43</f>
        <v/>
      </c>
      <c r="Q51" s="2322">
        <f>PL!H41+PL!H42+PL!H43</f>
        <v/>
      </c>
      <c r="R51" s="2319">
        <f>PL!L41+PL!L42+PL!L43</f>
        <v/>
      </c>
      <c r="S51" s="2323">
        <f>PL!P41+PL!P42+PL!P43</f>
        <v/>
      </c>
      <c r="T51" s="2324">
        <f>PL!T41+PL!T42+PL!T43</f>
        <v/>
      </c>
      <c r="U51" s="2324">
        <f>PL!X41+PL!X42+PL!X43</f>
        <v/>
      </c>
      <c r="V51" s="2324">
        <f>PL!AB41+PL!AB42+PL!AB43</f>
        <v/>
      </c>
      <c r="W51" s="2324">
        <f>PL!AF41+PL!AF42+PL!AF43</f>
        <v/>
      </c>
      <c r="X51" s="2324">
        <f>PL!AJ41+PL!AJ42+PL!AJ43</f>
        <v/>
      </c>
      <c r="Y51" s="2324">
        <f>PL!AN41+PL!AN42+PL!AN43</f>
        <v/>
      </c>
      <c r="Z51" s="2324">
        <f>PL!AR41+PL!AR42+PL!AR43</f>
        <v/>
      </c>
      <c r="AA51" s="2325">
        <f>PL!AV41+PL!AV42+PL!AV43</f>
        <v/>
      </c>
      <c r="AB51" s="2291" t="n"/>
      <c r="AC51" s="2197" t="n"/>
      <c r="AD51" s="2197" t="n"/>
      <c r="AE51" s="2197" t="n"/>
      <c r="AF51" s="2197" t="n"/>
      <c r="AG51" s="2197" t="n"/>
      <c r="AH51" s="2197" t="n"/>
      <c r="AI51" s="2197" t="n"/>
      <c r="AJ51" s="2197" t="n"/>
      <c r="AK51" s="2197" t="n"/>
      <c r="AL51" s="2197" t="n"/>
      <c r="AM51" s="2197" t="n"/>
      <c r="AN51" s="2198" t="n"/>
      <c r="AO51" s="2187" t="n"/>
      <c r="AP51" s="576">
        <f>(R51-Q51)/Q51</f>
        <v/>
      </c>
      <c r="AQ51" s="2227" t="n"/>
    </row>
    <row customFormat="1" r="52" s="2173" spans="1:44">
      <c r="A52" s="2186" t="s">
        <v>89</v>
      </c>
      <c r="B52" s="2187" t="n"/>
      <c r="C52" s="2233">
        <f>PL!C44</f>
        <v/>
      </c>
      <c r="D52" s="2234">
        <f>PL!G44</f>
        <v/>
      </c>
      <c r="E52" s="2235">
        <f>PL!K44</f>
        <v/>
      </c>
      <c r="F52" s="2326">
        <f>PL!O44</f>
        <v/>
      </c>
      <c r="G52" s="2234">
        <f>PL!S44</f>
        <v/>
      </c>
      <c r="H52" s="2234">
        <f>PL!W44</f>
        <v/>
      </c>
      <c r="I52" s="2234">
        <f>PL!AA44</f>
        <v/>
      </c>
      <c r="J52" s="2258">
        <f>PL!AE44</f>
        <v/>
      </c>
      <c r="K52" s="2234">
        <f>PL!AI44</f>
        <v/>
      </c>
      <c r="L52" s="2234">
        <f>PL!AM44</f>
        <v/>
      </c>
      <c r="M52" s="2258">
        <f>PL!AQ44</f>
        <v/>
      </c>
      <c r="N52" s="2327">
        <f>PL!AU44</f>
        <v/>
      </c>
      <c r="O52" s="2288" t="n"/>
      <c r="P52" s="2188" t="n"/>
      <c r="Q52" s="2189" t="n"/>
      <c r="R52" s="2189" t="n"/>
      <c r="S52" s="2189" t="n"/>
      <c r="T52" s="2189" t="n"/>
      <c r="U52" s="2189" t="n"/>
      <c r="V52" s="2189" t="n"/>
      <c r="W52" s="2189" t="n"/>
      <c r="X52" s="2189" t="n"/>
      <c r="Y52" s="2189" t="n"/>
      <c r="Z52" s="2189" t="n"/>
      <c r="AA52" s="2190" t="n"/>
      <c r="AB52" s="2288" t="n"/>
      <c r="AC52" s="2188" t="n"/>
      <c r="AD52" s="2189" t="n"/>
      <c r="AE52" s="2189" t="n"/>
      <c r="AF52" s="2287" t="n"/>
      <c r="AG52" s="2287" t="n"/>
      <c r="AH52" s="2287" t="n"/>
      <c r="AI52" s="2287" t="n"/>
      <c r="AJ52" s="2287" t="n"/>
      <c r="AK52" s="2287" t="n"/>
      <c r="AL52" s="2287" t="n"/>
      <c r="AM52" s="2287" t="n"/>
      <c r="AN52" s="2289" t="n"/>
      <c r="AO52" s="2187" t="n"/>
    </row>
    <row customFormat="1" r="53" s="2173" spans="1:44">
      <c r="A53" s="2186" t="s">
        <v>153</v>
      </c>
      <c r="B53" s="2187" t="n"/>
      <c r="C53" s="2188" t="n"/>
      <c r="D53" s="2189" t="n"/>
      <c r="E53" s="2328" t="n"/>
      <c r="F53" s="2329" t="n"/>
      <c r="G53" s="2329" t="n"/>
      <c r="H53" s="2330" t="n"/>
      <c r="I53" s="2330" t="n"/>
      <c r="J53" s="2206" t="n"/>
      <c r="K53" s="2126" t="n"/>
      <c r="L53" s="2206" t="n"/>
      <c r="M53" s="2206" t="n"/>
      <c r="N53" s="2289" t="n"/>
      <c r="O53" s="2288" t="n"/>
      <c r="P53" s="2188" t="n"/>
      <c r="Q53" s="2189" t="n"/>
      <c r="R53" s="2189" t="n"/>
      <c r="S53" s="2309" t="n"/>
      <c r="T53" s="2287" t="n"/>
      <c r="U53" s="2287" t="n"/>
      <c r="V53" s="2287" t="n"/>
      <c r="W53" s="2287" t="n"/>
      <c r="X53" s="2287" t="n"/>
      <c r="Y53" s="2287" t="n"/>
      <c r="Z53" s="2287" t="n"/>
      <c r="AA53" s="2289" t="n"/>
      <c r="AB53" s="2288" t="n"/>
      <c r="AC53" s="2189">
        <f>C55-SUM(P42:P53)</f>
        <v/>
      </c>
      <c r="AD53" s="2189">
        <f>D55-SUM(Q42:Q53)</f>
        <v/>
      </c>
      <c r="AE53" s="2189">
        <f>E55-SUM(R42:R53)</f>
        <v/>
      </c>
      <c r="AF53" s="2189">
        <f>F55-SUM(S42:S53)</f>
        <v/>
      </c>
      <c r="AG53" s="2189">
        <f>G55-SUM(T42:T53)</f>
        <v/>
      </c>
      <c r="AH53" s="2189">
        <f>H55-SUM(U42:U53)</f>
        <v/>
      </c>
      <c r="AI53" s="2189">
        <f>I55-SUM(V42:V53)</f>
        <v/>
      </c>
      <c r="AJ53" s="2189">
        <f>J55-SUM(W42:W53)</f>
        <v/>
      </c>
      <c r="AK53" s="2189">
        <f>K55-SUM(X42:X53)</f>
        <v/>
      </c>
      <c r="AL53" s="2189">
        <f>L55-SUM(Y42:Y53)</f>
        <v/>
      </c>
      <c r="AM53" s="2189">
        <f>M55-SUM(Z42:Z53)</f>
        <v/>
      </c>
      <c r="AN53" s="2189">
        <f>N55-SUM(AA42:AA53)</f>
        <v/>
      </c>
      <c r="AO53" s="2187" t="n"/>
    </row>
    <row customFormat="1" r="54" s="2173" spans="1:44">
      <c r="A54" s="2204" t="s">
        <v>182</v>
      </c>
      <c r="B54" s="2187" t="n"/>
      <c r="C54" s="2205" t="n"/>
      <c r="D54" s="2236" t="n"/>
      <c r="E54" s="2237" t="n"/>
      <c r="F54" s="2189" t="n"/>
      <c r="G54" s="2189" t="n"/>
      <c r="H54" s="2189" t="n"/>
      <c r="I54" s="2308" t="n"/>
      <c r="J54" s="2328" t="n"/>
      <c r="K54" s="2328" t="n"/>
      <c r="L54" s="2328" t="n"/>
      <c r="M54" s="2328" t="n"/>
      <c r="N54" s="2190" t="n"/>
      <c r="O54" s="2288" t="n"/>
      <c r="P54" s="2205" t="n"/>
      <c r="Q54" s="2206" t="n"/>
      <c r="R54" s="2206" t="n"/>
      <c r="S54" s="2189" t="n"/>
      <c r="T54" s="2189" t="n"/>
      <c r="U54" s="2189" t="n"/>
      <c r="V54" s="2189" t="n"/>
      <c r="W54" s="2189" t="n"/>
      <c r="X54" s="2189" t="n"/>
      <c r="Y54" s="2189" t="n"/>
      <c r="Z54" s="2189" t="n"/>
      <c r="AA54" s="2190" t="n"/>
      <c r="AB54" s="2288" t="n"/>
      <c r="AC54" s="623">
        <f>AC55/C55</f>
        <v/>
      </c>
      <c r="AD54" s="710">
        <f>AD55/D55</f>
        <v/>
      </c>
      <c r="AE54" s="629">
        <f>AE55/E55</f>
        <v/>
      </c>
      <c r="AF54" s="629">
        <f>AF55/F55</f>
        <v/>
      </c>
      <c r="AG54" s="629">
        <f>AG55/G55</f>
        <v/>
      </c>
      <c r="AH54" s="629">
        <f>AH55/H55</f>
        <v/>
      </c>
      <c r="AI54" s="629">
        <f>AI55/I55</f>
        <v/>
      </c>
      <c r="AJ54" s="629">
        <f>AJ55/J55</f>
        <v/>
      </c>
      <c r="AK54" s="629">
        <f>AK55/K55</f>
        <v/>
      </c>
      <c r="AL54" s="629">
        <f>AL55/L55</f>
        <v/>
      </c>
      <c r="AM54" s="629">
        <f>AM55/M55</f>
        <v/>
      </c>
      <c r="AN54" s="628">
        <f>AN55/N55</f>
        <v/>
      </c>
      <c r="AO54" s="2187" t="n"/>
    </row>
    <row customFormat="1" customHeight="1" ht="18" r="55" s="2238" spans="1:44" thickBot="1">
      <c r="A55" s="2239" t="s">
        <v>173</v>
      </c>
      <c r="B55" s="2240" t="n"/>
      <c r="C55" s="2241">
        <f>SUM(C42:C53)</f>
        <v/>
      </c>
      <c r="D55" s="2242">
        <f>SUM(D42:D53)</f>
        <v/>
      </c>
      <c r="E55" s="2243">
        <f>SUM(E42:E53)</f>
        <v/>
      </c>
      <c r="F55" s="2243">
        <f>SUM(F42:F53)</f>
        <v/>
      </c>
      <c r="G55" s="2243">
        <f>SUM(G42:G53)</f>
        <v/>
      </c>
      <c r="H55" s="2243">
        <f>SUM(H42:H53)</f>
        <v/>
      </c>
      <c r="I55" s="2243">
        <f>SUM(I42:I53)</f>
        <v/>
      </c>
      <c r="J55" s="2243">
        <f>SUM(J42:J53)</f>
        <v/>
      </c>
      <c r="K55" s="2243">
        <f>SUM(K42:K53)</f>
        <v/>
      </c>
      <c r="L55" s="2243">
        <f>SUM(L42:L53)</f>
        <v/>
      </c>
      <c r="M55" s="2243">
        <f>SUM(M42:M53)</f>
        <v/>
      </c>
      <c r="N55" s="2243">
        <f>SUM(N42:N53)</f>
        <v/>
      </c>
      <c r="O55" s="2240" t="n"/>
      <c r="P55" s="2244">
        <f>SUM(P42:P53)</f>
        <v/>
      </c>
      <c r="Q55" s="2245">
        <f>SUM(Q42:Q53)</f>
        <v/>
      </c>
      <c r="R55" s="2242">
        <f>SUM(R42:R53)</f>
        <v/>
      </c>
      <c r="S55" s="2242">
        <f>SUM(S42:S53)</f>
        <v/>
      </c>
      <c r="T55" s="2242">
        <f>SUM(T42:T53)</f>
        <v/>
      </c>
      <c r="U55" s="2242">
        <f>SUM(U42:U53)</f>
        <v/>
      </c>
      <c r="V55" s="2242">
        <f>SUM(V42:V53)</f>
        <v/>
      </c>
      <c r="W55" s="2242">
        <f>SUM(W42:W53)</f>
        <v/>
      </c>
      <c r="X55" s="2242">
        <f>SUM(X42:X53)</f>
        <v/>
      </c>
      <c r="Y55" s="2242">
        <f>SUM(Y42:Y53)</f>
        <v/>
      </c>
      <c r="Z55" s="2242">
        <f>SUM(Z42:Z53)</f>
        <v/>
      </c>
      <c r="AA55" s="2246">
        <f>SUM(AA42:AA53)</f>
        <v/>
      </c>
      <c r="AB55" s="2331" t="n"/>
      <c r="AC55" s="2247">
        <f>SUM(AC42:AC53)</f>
        <v/>
      </c>
      <c r="AD55" s="2242">
        <f>SUM(AD42:AD53)</f>
        <v/>
      </c>
      <c r="AE55" s="2242">
        <f>SUM(AE42:AE53)</f>
        <v/>
      </c>
      <c r="AF55" s="2242">
        <f>SUM(AF42:AF53)</f>
        <v/>
      </c>
      <c r="AG55" s="2242">
        <f>SUM(AG42:AG53)</f>
        <v/>
      </c>
      <c r="AH55" s="2242">
        <f>SUM(AH42:AH53)</f>
        <v/>
      </c>
      <c r="AI55" s="2242">
        <f>SUM(AI42:AI53)</f>
        <v/>
      </c>
      <c r="AJ55" s="2242">
        <f>SUM(AJ42:AJ53)</f>
        <v/>
      </c>
      <c r="AK55" s="2242">
        <f>SUM(AK42:AK53)</f>
        <v/>
      </c>
      <c r="AL55" s="2242">
        <f>SUM(AL42:AL53)</f>
        <v/>
      </c>
      <c r="AM55" s="2242">
        <f>SUM(AM42:AM53)</f>
        <v/>
      </c>
      <c r="AN55" s="2332">
        <f>SUM(AN42:AN53)</f>
        <v/>
      </c>
      <c r="AO55" s="2240" t="n"/>
      <c r="AP55" s="613" t="n"/>
    </row>
    <row customFormat="1" r="56" s="2238" spans="1:44">
      <c r="A56" s="2248" t="n"/>
      <c r="B56" s="2152" t="n"/>
      <c r="C56" s="2152" t="n"/>
      <c r="D56" s="2152" t="n"/>
      <c r="E56" s="2152" t="n"/>
      <c r="F56" s="2152" t="n"/>
      <c r="G56" s="2152" t="n"/>
      <c r="H56" s="2152" t="n"/>
      <c r="I56" s="2152" t="n"/>
      <c r="J56" s="2152" t="n"/>
      <c r="K56" s="2152" t="n"/>
      <c r="L56" s="2152" t="n"/>
      <c r="M56" s="2152" t="n"/>
      <c r="N56" s="2152" t="n"/>
      <c r="O56" s="2152" t="n"/>
      <c r="P56" s="2152" t="n"/>
      <c r="Q56" s="2152" t="n"/>
      <c r="R56" s="2152" t="n"/>
      <c r="S56" s="2152" t="n"/>
      <c r="T56" s="2152" t="n"/>
      <c r="U56" s="2152" t="n"/>
      <c r="V56" s="2152" t="n"/>
      <c r="W56" s="2152" t="n"/>
      <c r="X56" s="2152" t="n"/>
      <c r="Y56" s="2152" t="n"/>
      <c r="Z56" s="2152" t="n"/>
      <c r="AA56" s="2152" t="n"/>
      <c r="AB56" s="2152" t="n"/>
      <c r="AC56" s="613" t="n"/>
      <c r="AD56" s="613" t="n"/>
      <c r="AE56" s="613" t="n"/>
      <c r="AF56" s="613" t="n"/>
      <c r="AG56" s="613" t="n"/>
      <c r="AH56" s="613" t="n"/>
      <c r="AI56" s="613" t="n"/>
      <c r="AJ56" s="613" t="n"/>
      <c r="AK56" s="613" t="n"/>
      <c r="AL56" s="613" t="n"/>
      <c r="AM56" s="613" t="n"/>
      <c r="AN56" s="613" t="n"/>
      <c r="AO56" s="2152" t="n"/>
      <c r="AP56" s="613" t="n"/>
    </row>
    <row customFormat="1" r="57" s="2238" spans="1:44">
      <c r="A57" s="2248" t="n"/>
      <c r="B57" s="2152" t="n"/>
      <c r="C57" s="2152" t="n"/>
      <c r="D57" s="2152" t="n"/>
      <c r="E57" s="2152" t="n"/>
      <c r="F57" s="2152" t="n"/>
      <c r="G57" s="2152" t="n"/>
      <c r="H57" s="2152" t="n"/>
      <c r="I57" s="2152" t="n"/>
      <c r="J57" s="2152" t="n"/>
      <c r="K57" s="2152" t="n"/>
      <c r="L57" s="2152" t="n"/>
      <c r="M57" s="2152" t="n"/>
      <c r="N57" s="2152" t="n"/>
      <c r="O57" s="2152" t="n"/>
      <c r="P57" s="2152" t="n"/>
      <c r="Q57" s="2152" t="n"/>
      <c r="R57" s="2152" t="n"/>
      <c r="S57" s="2152" t="n"/>
      <c r="T57" s="2152" t="n"/>
      <c r="U57" s="2152" t="n"/>
      <c r="V57" s="2152" t="n"/>
      <c r="W57" s="2152" t="n"/>
      <c r="X57" s="2152" t="n"/>
      <c r="Y57" s="2152" t="n"/>
      <c r="Z57" s="2152" t="n"/>
      <c r="AA57" s="2152" t="n"/>
      <c r="AB57" s="2152" t="n"/>
      <c r="AC57" s="613" t="n"/>
      <c r="AD57" s="613" t="n"/>
      <c r="AE57" s="613" t="n"/>
      <c r="AF57" s="613" t="n"/>
      <c r="AG57" s="613" t="n"/>
      <c r="AH57" s="613" t="n"/>
      <c r="AI57" s="613" t="n"/>
      <c r="AJ57" s="613" t="n"/>
      <c r="AK57" s="613" t="n"/>
      <c r="AL57" s="613" t="n"/>
      <c r="AM57" s="613" t="n"/>
      <c r="AN57" s="613" t="n"/>
      <c r="AO57" s="2152" t="n"/>
      <c r="AP57" s="613" t="n"/>
    </row>
    <row customFormat="1" r="58" s="2238" spans="1:44">
      <c r="A58" s="2248" t="n"/>
      <c r="B58" s="2152" t="n"/>
      <c r="C58" s="2152" t="n"/>
      <c r="D58" s="2152" t="n"/>
      <c r="E58" s="2152" t="n"/>
      <c r="F58" s="2152" t="n"/>
      <c r="G58" s="2152" t="n"/>
      <c r="H58" s="2152" t="n"/>
      <c r="I58" s="2152" t="n"/>
      <c r="J58" s="2152" t="n"/>
      <c r="K58" s="2152" t="n"/>
      <c r="L58" s="2152" t="n"/>
      <c r="M58" s="2152" t="n"/>
      <c r="N58" s="2152" t="n"/>
      <c r="O58" s="2152" t="n"/>
      <c r="P58" s="2152" t="n"/>
      <c r="Q58" s="2152" t="n"/>
      <c r="R58" s="2152" t="n"/>
      <c r="S58" s="2152" t="n"/>
      <c r="T58" s="2152" t="n"/>
      <c r="U58" s="2152" t="n"/>
      <c r="V58" s="2152" t="n"/>
      <c r="W58" s="2152" t="n"/>
      <c r="X58" s="2152" t="n"/>
      <c r="Y58" s="2152" t="n"/>
      <c r="Z58" s="2152" t="n"/>
      <c r="AA58" s="2152" t="n"/>
      <c r="AB58" s="2152" t="n"/>
      <c r="AC58" s="613" t="n"/>
      <c r="AD58" s="613" t="n"/>
      <c r="AE58" s="613" t="n"/>
      <c r="AF58" s="613" t="n"/>
      <c r="AG58" s="613" t="n"/>
      <c r="AH58" s="613" t="n"/>
      <c r="AI58" s="613" t="n"/>
      <c r="AJ58" s="613" t="n"/>
      <c r="AK58" s="613" t="n"/>
      <c r="AL58" s="613" t="n"/>
      <c r="AM58" s="613" t="n"/>
      <c r="AN58" s="613" t="n"/>
      <c r="AO58" s="2152" t="n"/>
      <c r="AP58" s="613" t="n"/>
    </row>
    <row customFormat="1" r="59" s="2238" spans="1:44">
      <c r="A59" s="2248" t="n"/>
      <c r="B59" s="2152" t="n"/>
      <c r="C59" s="2152" t="n"/>
      <c r="D59" s="2152" t="n"/>
      <c r="E59" s="2152" t="n"/>
      <c r="F59" s="2152" t="n"/>
      <c r="G59" s="2152" t="n"/>
      <c r="H59" s="2152" t="n"/>
      <c r="I59" s="2152" t="n"/>
      <c r="J59" s="2152" t="n"/>
      <c r="K59" s="2152" t="n"/>
      <c r="L59" s="2152" t="n"/>
      <c r="M59" s="2152" t="n"/>
      <c r="N59" s="2152" t="n"/>
      <c r="O59" s="2152" t="n"/>
      <c r="P59" s="2152" t="n"/>
      <c r="Q59" s="2152" t="n"/>
      <c r="R59" s="2152" t="n"/>
      <c r="S59" s="2152" t="n"/>
      <c r="T59" s="2152" t="n"/>
      <c r="U59" s="2152" t="n"/>
      <c r="V59" s="2152" t="n"/>
      <c r="W59" s="2152" t="n"/>
      <c r="X59" s="2152" t="n"/>
      <c r="Y59" s="2152" t="n"/>
      <c r="Z59" s="2152" t="n"/>
      <c r="AA59" s="2152" t="n"/>
      <c r="AB59" s="2152" t="n"/>
      <c r="AC59" s="613" t="n"/>
      <c r="AD59" s="613" t="n"/>
      <c r="AE59" s="613" t="n"/>
      <c r="AF59" s="613" t="n"/>
      <c r="AG59" s="613" t="n"/>
      <c r="AH59" s="613" t="n"/>
      <c r="AI59" s="613" t="n"/>
      <c r="AJ59" s="613" t="n"/>
      <c r="AK59" s="613" t="n"/>
      <c r="AL59" s="613" t="n"/>
      <c r="AM59" s="613" t="n"/>
      <c r="AN59" s="613" t="n"/>
      <c r="AO59" s="2152" t="n"/>
      <c r="AP59" s="613" t="n"/>
    </row>
    <row customFormat="1" r="60" s="2238" spans="1:44">
      <c r="A60" s="2248" t="n"/>
      <c r="B60" s="2152" t="n"/>
      <c r="C60" s="2152" t="n"/>
      <c r="D60" s="2152" t="n"/>
      <c r="E60" s="2152" t="n"/>
      <c r="F60" s="2152" t="n"/>
      <c r="G60" s="2152" t="n"/>
      <c r="H60" s="2152" t="n"/>
      <c r="I60" s="2152" t="n"/>
      <c r="J60" s="2152" t="n"/>
      <c r="K60" s="2152" t="n"/>
      <c r="L60" s="2152" t="n"/>
      <c r="M60" s="2152" t="n"/>
      <c r="N60" s="2152" t="n"/>
      <c r="O60" s="2152" t="n"/>
      <c r="P60" s="2152" t="n"/>
      <c r="Q60" s="2152" t="n"/>
      <c r="R60" s="2152" t="n"/>
      <c r="S60" s="2152" t="n"/>
      <c r="T60" s="2152" t="n"/>
      <c r="U60" s="2152" t="n"/>
      <c r="V60" s="2152" t="n"/>
      <c r="W60" s="2152" t="n"/>
      <c r="X60" s="2152" t="n"/>
      <c r="Y60" s="2152" t="n"/>
      <c r="Z60" s="2152" t="n"/>
      <c r="AA60" s="2152" t="n"/>
      <c r="AB60" s="2152" t="n"/>
      <c r="AC60" s="613" t="n"/>
      <c r="AD60" s="613" t="n"/>
      <c r="AE60" s="613" t="n"/>
      <c r="AF60" s="613" t="n"/>
      <c r="AG60" s="613" t="n"/>
      <c r="AH60" s="613" t="n"/>
      <c r="AI60" s="613" t="n"/>
      <c r="AJ60" s="613" t="n"/>
      <c r="AK60" s="613" t="n"/>
      <c r="AL60" s="613" t="n"/>
      <c r="AM60" s="613" t="n"/>
      <c r="AN60" s="613" t="n"/>
      <c r="AO60" s="2152" t="n"/>
      <c r="AP60" s="613" t="n"/>
    </row>
    <row customFormat="1" r="61" s="2238" spans="1:44">
      <c r="A61" s="2248" t="n"/>
      <c r="B61" s="2152" t="n"/>
      <c r="C61" s="2152" t="n"/>
      <c r="D61" s="2152" t="n"/>
      <c r="E61" s="2152" t="n"/>
      <c r="F61" s="2152" t="n"/>
      <c r="G61" s="2152" t="n"/>
      <c r="H61" s="2152" t="n"/>
      <c r="I61" s="2152" t="n"/>
      <c r="J61" s="2152" t="n"/>
      <c r="K61" s="2152" t="n"/>
      <c r="L61" s="2152" t="n"/>
      <c r="M61" s="2152" t="n"/>
      <c r="N61" s="2152" t="n"/>
      <c r="O61" s="2152" t="n"/>
      <c r="P61" s="2152" t="n"/>
      <c r="Q61" s="2152" t="n"/>
      <c r="R61" s="2152" t="n"/>
      <c r="S61" s="2152" t="n"/>
      <c r="T61" s="2152" t="n"/>
      <c r="U61" s="2152" t="n"/>
      <c r="V61" s="2152" t="n"/>
      <c r="W61" s="2152" t="n"/>
      <c r="X61" s="2152" t="n"/>
      <c r="Y61" s="2152" t="n"/>
      <c r="Z61" s="2152" t="n"/>
      <c r="AA61" s="2152" t="n"/>
      <c r="AB61" s="2152" t="n"/>
      <c r="AC61" s="613" t="n"/>
      <c r="AD61" s="613" t="n"/>
      <c r="AE61" s="613" t="n"/>
      <c r="AF61" s="613" t="n"/>
      <c r="AG61" s="613" t="n"/>
      <c r="AH61" s="613" t="n"/>
      <c r="AI61" s="613" t="n"/>
      <c r="AJ61" s="613" t="n"/>
      <c r="AK61" s="613" t="n"/>
      <c r="AL61" s="613" t="n"/>
      <c r="AM61" s="613" t="n"/>
      <c r="AN61" s="613" t="n"/>
      <c r="AO61" s="2152" t="n"/>
      <c r="AP61" s="613" t="n"/>
    </row>
    <row customFormat="1" r="62" s="2238" spans="1:44">
      <c r="A62" s="2248" t="n"/>
      <c r="B62" s="2152" t="n"/>
      <c r="C62" s="2152" t="n"/>
      <c r="D62" s="2152" t="n"/>
      <c r="E62" s="2152" t="n"/>
      <c r="F62" s="2152" t="n"/>
      <c r="G62" s="2152" t="n"/>
      <c r="H62" s="2152" t="n"/>
      <c r="I62" s="2152" t="n"/>
      <c r="J62" s="2152" t="n"/>
      <c r="K62" s="2152" t="n"/>
      <c r="L62" s="2152" t="n"/>
      <c r="M62" s="2152" t="n"/>
      <c r="N62" s="2152" t="n"/>
      <c r="O62" s="2152" t="n"/>
      <c r="P62" s="2152" t="n"/>
      <c r="Q62" s="2152" t="n"/>
      <c r="R62" s="2152" t="n"/>
      <c r="S62" s="2152" t="n"/>
      <c r="T62" s="2152" t="n"/>
      <c r="U62" s="2152" t="n"/>
      <c r="V62" s="2152" t="n"/>
      <c r="W62" s="2152" t="n"/>
      <c r="X62" s="2152" t="n"/>
      <c r="Y62" s="2152" t="n"/>
      <c r="Z62" s="2152" t="n"/>
      <c r="AA62" s="2152" t="n"/>
      <c r="AB62" s="2152" t="n"/>
      <c r="AC62" s="613" t="n"/>
      <c r="AD62" s="613" t="n"/>
      <c r="AE62" s="613" t="n"/>
      <c r="AF62" s="613" t="n"/>
      <c r="AG62" s="613" t="n"/>
      <c r="AH62" s="613" t="n"/>
      <c r="AI62" s="613" t="n"/>
      <c r="AJ62" s="613" t="n"/>
      <c r="AK62" s="613" t="n"/>
      <c r="AL62" s="613" t="n"/>
      <c r="AM62" s="613" t="n"/>
      <c r="AN62" s="613" t="n"/>
      <c r="AO62" s="2152" t="n"/>
      <c r="AP62" s="613" t="n"/>
    </row>
    <row customFormat="1" r="63" s="2238" spans="1:44">
      <c r="A63" s="2248" t="n"/>
      <c r="B63" s="2152" t="n"/>
      <c r="C63" s="2152" t="n"/>
      <c r="D63" s="2152" t="n"/>
      <c r="E63" s="2152" t="n"/>
      <c r="F63" s="2152" t="n"/>
      <c r="G63" s="2152" t="n"/>
      <c r="H63" s="2152" t="n"/>
      <c r="I63" s="2152" t="n"/>
      <c r="J63" s="2152" t="n"/>
      <c r="K63" s="2152" t="n"/>
      <c r="L63" s="2152" t="n"/>
      <c r="M63" s="2152" t="n"/>
      <c r="N63" s="2152" t="n"/>
      <c r="O63" s="2152" t="n"/>
      <c r="P63" s="2152" t="n"/>
      <c r="Q63" s="2152" t="n"/>
      <c r="R63" s="2152" t="n"/>
      <c r="S63" s="2152" t="n"/>
      <c r="T63" s="2152" t="n"/>
      <c r="U63" s="2152" t="n"/>
      <c r="V63" s="2152" t="n"/>
      <c r="W63" s="2152" t="n"/>
      <c r="X63" s="2152" t="n"/>
      <c r="Y63" s="2152" t="n"/>
      <c r="Z63" s="2152" t="n"/>
      <c r="AA63" s="2152" t="n"/>
      <c r="AB63" s="2152" t="n"/>
      <c r="AC63" s="613" t="n"/>
      <c r="AD63" s="613" t="n"/>
      <c r="AE63" s="613" t="n"/>
      <c r="AF63" s="613" t="n"/>
      <c r="AG63" s="613" t="n"/>
      <c r="AH63" s="613" t="n"/>
      <c r="AI63" s="613" t="n"/>
      <c r="AJ63" s="613" t="n"/>
      <c r="AK63" s="613" t="n"/>
      <c r="AL63" s="613" t="n"/>
      <c r="AM63" s="613" t="n"/>
      <c r="AN63" s="613" t="n"/>
      <c r="AO63" s="2152" t="n"/>
      <c r="AP63" s="613" t="n"/>
    </row>
    <row customFormat="1" r="64" s="2238" spans="1:44">
      <c r="A64" s="2248" t="n"/>
      <c r="B64" s="2152" t="n"/>
      <c r="C64" s="2152" t="n"/>
      <c r="D64" s="2152" t="n"/>
      <c r="E64" s="2152" t="n"/>
      <c r="F64" s="2152" t="n"/>
      <c r="G64" s="2152" t="n"/>
      <c r="H64" s="2152" t="n"/>
      <c r="I64" s="2152" t="n"/>
      <c r="J64" s="2152" t="n"/>
      <c r="K64" s="2152" t="n"/>
      <c r="L64" s="2152" t="n"/>
      <c r="M64" s="2152" t="n"/>
      <c r="N64" s="2152" t="n"/>
      <c r="O64" s="2152" t="n"/>
      <c r="P64" s="2152" t="n"/>
      <c r="Q64" s="2152" t="n"/>
      <c r="R64" s="2152" t="n"/>
      <c r="S64" s="2152" t="n"/>
      <c r="T64" s="2152" t="n"/>
      <c r="U64" s="2152" t="n"/>
      <c r="V64" s="2152" t="n"/>
      <c r="W64" s="2152" t="n"/>
      <c r="X64" s="2152" t="n"/>
      <c r="Y64" s="2152" t="n"/>
      <c r="Z64" s="2152" t="n"/>
      <c r="AA64" s="2152" t="n"/>
      <c r="AB64" s="2152" t="n"/>
      <c r="AC64" s="613" t="n"/>
      <c r="AD64" s="613" t="n"/>
      <c r="AE64" s="613" t="n"/>
      <c r="AF64" s="613" t="n"/>
      <c r="AG64" s="613" t="n"/>
      <c r="AH64" s="613" t="n"/>
      <c r="AI64" s="613" t="n"/>
      <c r="AJ64" s="613" t="n"/>
      <c r="AK64" s="613" t="n"/>
      <c r="AL64" s="613" t="n"/>
      <c r="AM64" s="613" t="n"/>
      <c r="AN64" s="613" t="n"/>
      <c r="AO64" s="2152" t="n"/>
      <c r="AP64" s="613" t="n"/>
    </row>
    <row customFormat="1" r="65" s="2238" spans="1:44">
      <c r="A65" s="2248" t="n"/>
      <c r="B65" s="2152" t="n"/>
      <c r="C65" s="2152" t="n"/>
      <c r="D65" s="2152" t="n"/>
      <c r="E65" s="2152" t="n"/>
      <c r="F65" s="2152" t="n"/>
      <c r="G65" s="2152" t="n"/>
      <c r="H65" s="2152" t="n"/>
      <c r="I65" s="2152" t="n"/>
      <c r="J65" s="2152" t="n"/>
      <c r="K65" s="2152" t="n"/>
      <c r="L65" s="2152" t="n"/>
      <c r="M65" s="2152" t="n"/>
      <c r="N65" s="2152" t="n"/>
      <c r="O65" s="2152" t="n"/>
      <c r="P65" s="2152" t="n"/>
      <c r="Q65" s="2152" t="n"/>
      <c r="R65" s="2152" t="n"/>
      <c r="S65" s="2152" t="n"/>
      <c r="T65" s="2152" t="n"/>
      <c r="U65" s="2152" t="n"/>
      <c r="V65" s="2152" t="n"/>
      <c r="W65" s="2152" t="n"/>
      <c r="X65" s="2152" t="n"/>
      <c r="Y65" s="2152" t="n"/>
      <c r="Z65" s="2152" t="n"/>
      <c r="AA65" s="2152" t="n"/>
      <c r="AB65" s="2152" t="n"/>
      <c r="AC65" s="613" t="n"/>
      <c r="AD65" s="613" t="n"/>
      <c r="AE65" s="613" t="n"/>
      <c r="AF65" s="613" t="n"/>
      <c r="AG65" s="613" t="n"/>
      <c r="AH65" s="613" t="n"/>
      <c r="AI65" s="613" t="n"/>
      <c r="AJ65" s="613" t="n"/>
      <c r="AK65" s="613" t="n"/>
      <c r="AL65" s="613" t="n"/>
      <c r="AM65" s="613" t="n"/>
      <c r="AN65" s="613" t="n"/>
      <c r="AO65" s="2152" t="n"/>
      <c r="AP65" s="613" t="n"/>
    </row>
    <row customFormat="1" r="66" s="2238" spans="1:44">
      <c r="A66" s="2248" t="n"/>
      <c r="B66" s="2152" t="n"/>
      <c r="C66" s="2152" t="n"/>
      <c r="D66" s="2152" t="n"/>
      <c r="E66" s="2152" t="n"/>
      <c r="F66" s="2152" t="n"/>
      <c r="G66" s="2152" t="n"/>
      <c r="H66" s="2152" t="n"/>
      <c r="I66" s="2152" t="n"/>
      <c r="J66" s="2152" t="n"/>
      <c r="K66" s="2152" t="n"/>
      <c r="L66" s="2152" t="n"/>
      <c r="M66" s="2152" t="n"/>
      <c r="N66" s="2152" t="n"/>
      <c r="O66" s="2152" t="n"/>
      <c r="P66" s="2152" t="n"/>
      <c r="Q66" s="2152" t="n"/>
      <c r="R66" s="2152" t="n"/>
      <c r="S66" s="2152" t="n"/>
      <c r="T66" s="2152" t="n"/>
      <c r="U66" s="2152" t="n"/>
      <c r="V66" s="2152" t="n"/>
      <c r="W66" s="2152" t="n"/>
      <c r="X66" s="2152" t="n"/>
      <c r="Y66" s="2152" t="n"/>
      <c r="Z66" s="2152" t="n"/>
      <c r="AA66" s="2152" t="n"/>
      <c r="AB66" s="2152" t="n"/>
      <c r="AC66" s="613" t="n"/>
      <c r="AD66" s="613" t="n"/>
      <c r="AE66" s="613" t="n"/>
      <c r="AF66" s="613" t="n"/>
      <c r="AG66" s="613" t="n"/>
      <c r="AH66" s="613" t="n"/>
      <c r="AI66" s="613" t="n"/>
      <c r="AJ66" s="613" t="n"/>
      <c r="AK66" s="613" t="n"/>
      <c r="AL66" s="613" t="n"/>
      <c r="AM66" s="613" t="n"/>
      <c r="AN66" s="613" t="n"/>
      <c r="AO66" s="2152" t="n"/>
      <c r="AP66" s="613" t="n"/>
    </row>
    <row customFormat="1" r="67" s="2238" spans="1:44">
      <c r="A67" s="2248" t="n"/>
      <c r="B67" s="2152" t="n"/>
      <c r="C67" s="2152" t="n"/>
      <c r="D67" s="2152" t="n"/>
      <c r="E67" s="2152" t="n"/>
      <c r="F67" s="2152" t="n"/>
      <c r="G67" s="2152" t="n"/>
      <c r="H67" s="2152" t="n"/>
      <c r="I67" s="2152" t="n"/>
      <c r="J67" s="2152" t="n"/>
      <c r="K67" s="2152" t="n"/>
      <c r="L67" s="2152" t="n"/>
      <c r="M67" s="2152" t="n"/>
      <c r="N67" s="2152" t="n"/>
      <c r="O67" s="2152" t="n"/>
      <c r="P67" s="2152" t="n"/>
      <c r="Q67" s="2152" t="n"/>
      <c r="R67" s="2152" t="n"/>
      <c r="S67" s="2152" t="n"/>
      <c r="T67" s="2152" t="n"/>
      <c r="U67" s="2152" t="n"/>
      <c r="V67" s="2152" t="n"/>
      <c r="W67" s="2152" t="n"/>
      <c r="X67" s="2152" t="n"/>
      <c r="Y67" s="2152" t="n"/>
      <c r="Z67" s="2152" t="n"/>
      <c r="AA67" s="2152" t="n"/>
      <c r="AB67" s="2152" t="n"/>
      <c r="AC67" s="613" t="n"/>
      <c r="AD67" s="613" t="n"/>
      <c r="AE67" s="613" t="n"/>
      <c r="AF67" s="613" t="n"/>
      <c r="AG67" s="613" t="n"/>
      <c r="AH67" s="613" t="n"/>
      <c r="AI67" s="613" t="n"/>
      <c r="AJ67" s="613" t="n"/>
      <c r="AK67" s="613" t="n"/>
      <c r="AL67" s="613" t="n"/>
      <c r="AM67" s="613" t="n"/>
      <c r="AN67" s="613" t="n"/>
      <c r="AO67" s="2152" t="n"/>
      <c r="AP67" s="613" t="n"/>
    </row>
    <row customFormat="1" r="68" s="2238" spans="1:44">
      <c r="A68" s="2248" t="n"/>
      <c r="B68" s="2152" t="n"/>
      <c r="C68" s="2152" t="n"/>
      <c r="D68" s="2152" t="n"/>
      <c r="E68" s="2152" t="n"/>
      <c r="F68" s="2152" t="n"/>
      <c r="G68" s="2152" t="n"/>
      <c r="H68" s="2152" t="n"/>
      <c r="I68" s="2152" t="n"/>
      <c r="J68" s="2152" t="n"/>
      <c r="K68" s="2152" t="n"/>
      <c r="L68" s="2152" t="n"/>
      <c r="M68" s="2152" t="n"/>
      <c r="N68" s="2152" t="n"/>
      <c r="O68" s="2152" t="n"/>
      <c r="P68" s="2152" t="n"/>
      <c r="Q68" s="2152" t="n"/>
      <c r="R68" s="2152" t="n"/>
      <c r="S68" s="2152" t="n"/>
      <c r="T68" s="2152" t="n"/>
      <c r="U68" s="2152" t="n"/>
      <c r="V68" s="2152" t="n"/>
      <c r="W68" s="2152" t="n"/>
      <c r="X68" s="2152" t="n"/>
      <c r="Y68" s="2152" t="n"/>
      <c r="Z68" s="2152" t="n"/>
      <c r="AA68" s="2152" t="n"/>
      <c r="AB68" s="2152" t="n"/>
      <c r="AC68" s="613" t="n"/>
      <c r="AD68" s="613" t="n"/>
      <c r="AE68" s="613" t="n"/>
      <c r="AF68" s="613" t="n"/>
      <c r="AG68" s="613" t="n"/>
      <c r="AH68" s="613" t="n"/>
      <c r="AI68" s="613" t="n"/>
      <c r="AJ68" s="613" t="n"/>
      <c r="AK68" s="613" t="n"/>
      <c r="AL68" s="613" t="n"/>
      <c r="AM68" s="613" t="n"/>
      <c r="AN68" s="613" t="n"/>
      <c r="AO68" s="2152" t="n"/>
      <c r="AP68" s="613" t="n"/>
    </row>
    <row customFormat="1" r="69" s="2238" spans="1:44">
      <c r="A69" s="2248" t="n"/>
      <c r="B69" s="2152" t="n"/>
      <c r="C69" s="2152" t="n"/>
      <c r="D69" s="2152" t="n"/>
      <c r="E69" s="2152" t="n"/>
      <c r="F69" s="2152" t="n"/>
      <c r="G69" s="2152" t="n"/>
      <c r="H69" s="2152" t="n"/>
      <c r="I69" s="2152" t="n"/>
      <c r="J69" s="2152" t="n"/>
      <c r="K69" s="2152" t="n"/>
      <c r="L69" s="2152" t="n"/>
      <c r="M69" s="2152" t="n"/>
      <c r="N69" s="2152" t="n"/>
      <c r="O69" s="2152" t="n"/>
      <c r="P69" s="2152" t="n"/>
      <c r="Q69" s="2152" t="n"/>
      <c r="R69" s="2152" t="n"/>
      <c r="S69" s="2152" t="n"/>
      <c r="T69" s="2152" t="n"/>
      <c r="U69" s="2152" t="n"/>
      <c r="V69" s="2152" t="n"/>
      <c r="W69" s="2152" t="n"/>
      <c r="X69" s="2152" t="n"/>
      <c r="Y69" s="2152" t="n"/>
      <c r="Z69" s="2152" t="n"/>
      <c r="AA69" s="2152" t="n"/>
      <c r="AB69" s="2152" t="n"/>
      <c r="AC69" s="613" t="n"/>
      <c r="AD69" s="613" t="n"/>
      <c r="AE69" s="613" t="n"/>
      <c r="AF69" s="613" t="n"/>
      <c r="AG69" s="613" t="n"/>
      <c r="AH69" s="613" t="n"/>
      <c r="AI69" s="613" t="n"/>
      <c r="AJ69" s="613" t="n"/>
      <c r="AK69" s="613" t="n"/>
      <c r="AL69" s="613" t="n"/>
      <c r="AM69" s="613" t="n"/>
      <c r="AN69" s="613" t="n"/>
      <c r="AO69" s="2152" t="n"/>
      <c r="AP69" s="613" t="n"/>
    </row>
    <row customFormat="1" r="70" s="2238" spans="1:44">
      <c r="A70" s="2248" t="n"/>
      <c r="B70" s="2152" t="n"/>
      <c r="C70" s="2152" t="n"/>
      <c r="D70" s="2152" t="n"/>
      <c r="E70" s="2152" t="n"/>
      <c r="F70" s="2152" t="n"/>
      <c r="G70" s="2152" t="n"/>
      <c r="H70" s="2152" t="n"/>
      <c r="I70" s="2152" t="n"/>
      <c r="J70" s="2152" t="n"/>
      <c r="K70" s="2152" t="n"/>
      <c r="L70" s="2152" t="n"/>
      <c r="M70" s="2152" t="n"/>
      <c r="N70" s="2152" t="n"/>
      <c r="O70" s="2152" t="n"/>
      <c r="P70" s="2152" t="n"/>
      <c r="Q70" s="2152" t="n"/>
      <c r="R70" s="2152" t="n"/>
      <c r="S70" s="2152" t="n"/>
      <c r="T70" s="2152" t="n"/>
      <c r="U70" s="2152" t="n"/>
      <c r="V70" s="2152" t="n"/>
      <c r="W70" s="2152" t="n"/>
      <c r="X70" s="2152" t="n"/>
      <c r="Y70" s="2152" t="n"/>
      <c r="Z70" s="2152" t="n"/>
      <c r="AA70" s="2152" t="n"/>
      <c r="AB70" s="2152" t="n"/>
      <c r="AC70" s="613" t="n"/>
      <c r="AD70" s="613" t="n"/>
      <c r="AE70" s="613" t="n"/>
      <c r="AF70" s="613" t="n"/>
      <c r="AG70" s="613" t="n"/>
      <c r="AH70" s="613" t="n"/>
      <c r="AI70" s="613" t="n"/>
      <c r="AJ70" s="613" t="n"/>
      <c r="AK70" s="613" t="n"/>
      <c r="AL70" s="613" t="n"/>
      <c r="AM70" s="613" t="n"/>
      <c r="AN70" s="613" t="n"/>
      <c r="AO70" s="2152" t="n"/>
      <c r="AP70" s="613" t="n"/>
    </row>
    <row customFormat="1" r="71" s="2238" spans="1:44">
      <c r="A71" s="2248" t="n"/>
      <c r="B71" s="2152" t="n"/>
      <c r="C71" s="2152" t="n"/>
      <c r="D71" s="2152" t="n"/>
      <c r="E71" s="2152" t="n"/>
      <c r="F71" s="2152" t="n"/>
      <c r="G71" s="2152" t="n"/>
      <c r="H71" s="2152" t="n"/>
      <c r="I71" s="2152" t="n"/>
      <c r="J71" s="2152" t="n"/>
      <c r="K71" s="2152" t="n"/>
      <c r="L71" s="2152" t="n"/>
      <c r="M71" s="2152" t="n"/>
      <c r="N71" s="2152" t="n"/>
      <c r="O71" s="2152" t="n"/>
      <c r="P71" s="2152" t="n"/>
      <c r="Q71" s="2152" t="n"/>
      <c r="R71" s="2152" t="n"/>
      <c r="S71" s="2152" t="n"/>
      <c r="T71" s="2152" t="n"/>
      <c r="U71" s="2152" t="n"/>
      <c r="V71" s="2152" t="n"/>
      <c r="W71" s="2152" t="n"/>
      <c r="X71" s="2152" t="n"/>
      <c r="Y71" s="2152" t="n"/>
      <c r="Z71" s="2152" t="n"/>
      <c r="AA71" s="2152" t="n"/>
      <c r="AB71" s="2152" t="n"/>
      <c r="AC71" s="613" t="n"/>
      <c r="AD71" s="613" t="n"/>
      <c r="AE71" s="613" t="n"/>
      <c r="AF71" s="613" t="n"/>
      <c r="AG71" s="613" t="n"/>
      <c r="AH71" s="613" t="n"/>
      <c r="AI71" s="613" t="n"/>
      <c r="AJ71" s="613" t="n"/>
      <c r="AK71" s="613" t="n"/>
      <c r="AL71" s="613" t="n"/>
      <c r="AM71" s="613" t="n"/>
      <c r="AN71" s="613" t="n"/>
      <c r="AO71" s="2152" t="n"/>
      <c r="AP71" s="613" t="n"/>
    </row>
    <row customFormat="1" r="72" s="2238" spans="1:44">
      <c r="A72" s="2248" t="n"/>
      <c r="B72" s="2152" t="n"/>
      <c r="C72" s="2152" t="n"/>
      <c r="D72" s="2152" t="n"/>
      <c r="E72" s="2152" t="n"/>
      <c r="F72" s="2152" t="n"/>
      <c r="G72" s="2152" t="n"/>
      <c r="H72" s="2152" t="n"/>
      <c r="I72" s="2152" t="n"/>
      <c r="J72" s="2152" t="n"/>
      <c r="K72" s="2152" t="n"/>
      <c r="L72" s="2152" t="n"/>
      <c r="M72" s="2152" t="n"/>
      <c r="N72" s="2152" t="n"/>
      <c r="O72" s="2152" t="n"/>
      <c r="P72" s="2152" t="n"/>
      <c r="Q72" s="2152" t="n"/>
      <c r="R72" s="2152" t="n"/>
      <c r="S72" s="2152" t="n"/>
      <c r="T72" s="2152" t="n"/>
      <c r="U72" s="2152" t="n"/>
      <c r="V72" s="2152" t="n"/>
      <c r="W72" s="2152" t="n"/>
      <c r="X72" s="2152" t="n"/>
      <c r="Y72" s="2152" t="n"/>
      <c r="Z72" s="2152" t="n"/>
      <c r="AA72" s="2152" t="n"/>
      <c r="AB72" s="2152" t="n"/>
      <c r="AC72" s="613" t="n"/>
      <c r="AD72" s="613" t="n"/>
      <c r="AE72" s="613" t="n"/>
      <c r="AF72" s="613" t="n"/>
      <c r="AG72" s="613" t="n"/>
      <c r="AH72" s="613" t="n"/>
      <c r="AI72" s="613" t="n"/>
      <c r="AJ72" s="613" t="n"/>
      <c r="AK72" s="613" t="n"/>
      <c r="AL72" s="613" t="n"/>
      <c r="AM72" s="613" t="n"/>
      <c r="AN72" s="613" t="n"/>
      <c r="AO72" s="2152" t="n"/>
      <c r="AP72" s="613" t="n"/>
    </row>
    <row customFormat="1" r="73" s="2238" spans="1:44">
      <c r="A73" s="2248" t="n"/>
      <c r="B73" s="2152" t="n"/>
      <c r="C73" s="2152" t="n"/>
      <c r="D73" s="2152" t="n"/>
      <c r="E73" s="2152" t="n"/>
      <c r="F73" s="2152" t="n"/>
      <c r="G73" s="2152" t="n"/>
      <c r="H73" s="2152" t="n"/>
      <c r="I73" s="2152" t="n"/>
      <c r="J73" s="2152" t="n"/>
      <c r="K73" s="2152" t="n"/>
      <c r="L73" s="2152" t="n"/>
      <c r="M73" s="2152" t="n"/>
      <c r="N73" s="2152" t="n"/>
      <c r="O73" s="2152" t="n"/>
      <c r="P73" s="2152" t="n"/>
      <c r="Q73" s="2152" t="n"/>
      <c r="R73" s="2152" t="n"/>
      <c r="S73" s="2152" t="n"/>
      <c r="T73" s="2152" t="n"/>
      <c r="U73" s="2152" t="n"/>
      <c r="V73" s="2152" t="n"/>
      <c r="W73" s="2152" t="n"/>
      <c r="X73" s="2152" t="n"/>
      <c r="Y73" s="2152" t="n"/>
      <c r="Z73" s="2152" t="n"/>
      <c r="AA73" s="2152" t="n"/>
      <c r="AB73" s="2152" t="n"/>
      <c r="AC73" s="613" t="n"/>
      <c r="AD73" s="613" t="n"/>
      <c r="AE73" s="613" t="n"/>
      <c r="AF73" s="613" t="n"/>
      <c r="AG73" s="613" t="n"/>
      <c r="AH73" s="613" t="n"/>
      <c r="AI73" s="613" t="n"/>
      <c r="AJ73" s="613" t="n"/>
      <c r="AK73" s="613" t="n"/>
      <c r="AL73" s="613" t="n"/>
      <c r="AM73" s="613" t="n"/>
      <c r="AN73" s="613" t="n"/>
      <c r="AO73" s="2152" t="n"/>
      <c r="AP73" s="613" t="n"/>
    </row>
    <row customFormat="1" r="74" s="2238" spans="1:44">
      <c r="A74" s="2248" t="n"/>
      <c r="B74" s="2152" t="n"/>
      <c r="C74" s="2152" t="n"/>
      <c r="D74" s="2152" t="n"/>
      <c r="E74" s="2152" t="n"/>
      <c r="F74" s="2152" t="n"/>
      <c r="G74" s="2152" t="n"/>
      <c r="H74" s="2152" t="n"/>
      <c r="I74" s="2152" t="n"/>
      <c r="J74" s="2152" t="n"/>
      <c r="K74" s="2152" t="n"/>
      <c r="L74" s="2152" t="n"/>
      <c r="M74" s="2152" t="n"/>
      <c r="N74" s="2152" t="n"/>
      <c r="O74" s="2152" t="n"/>
      <c r="P74" s="2152" t="n"/>
      <c r="Q74" s="2152" t="n"/>
      <c r="R74" s="2152" t="n"/>
      <c r="S74" s="2152" t="n"/>
      <c r="T74" s="2152" t="n"/>
      <c r="U74" s="2152" t="n"/>
      <c r="V74" s="2152" t="n"/>
      <c r="W74" s="2152" t="n"/>
      <c r="X74" s="2152" t="n"/>
      <c r="Y74" s="2152" t="n"/>
      <c r="Z74" s="2152" t="n"/>
      <c r="AA74" s="2152" t="n"/>
      <c r="AB74" s="2152" t="n"/>
      <c r="AC74" s="613" t="n"/>
      <c r="AD74" s="613" t="n"/>
      <c r="AE74" s="613" t="n"/>
      <c r="AF74" s="613" t="n"/>
      <c r="AG74" s="613" t="n"/>
      <c r="AH74" s="613" t="n"/>
      <c r="AI74" s="613" t="n"/>
      <c r="AJ74" s="613" t="n"/>
      <c r="AK74" s="613" t="n"/>
      <c r="AL74" s="613" t="n"/>
      <c r="AM74" s="613" t="n"/>
      <c r="AN74" s="613" t="n"/>
      <c r="AO74" s="2152" t="n"/>
      <c r="AP74" s="613" t="n"/>
    </row>
    <row customFormat="1" r="75" s="2238" spans="1:44">
      <c r="A75" s="2248" t="n"/>
      <c r="B75" s="2152" t="n"/>
      <c r="C75" s="2152" t="n"/>
      <c r="D75" s="2152" t="n"/>
      <c r="E75" s="2152" t="n"/>
      <c r="F75" s="2152" t="n"/>
      <c r="G75" s="2152" t="n"/>
      <c r="H75" s="2152" t="n"/>
      <c r="I75" s="2152" t="n"/>
      <c r="J75" s="2152" t="n"/>
      <c r="K75" s="2152" t="n"/>
      <c r="L75" s="2152" t="n"/>
      <c r="M75" s="2152" t="n"/>
      <c r="N75" s="2152" t="n"/>
      <c r="O75" s="2152" t="n"/>
      <c r="P75" s="2152" t="n"/>
      <c r="Q75" s="2152" t="n"/>
      <c r="R75" s="2152" t="n"/>
      <c r="S75" s="2152" t="n"/>
      <c r="T75" s="2152" t="n"/>
      <c r="U75" s="2152" t="n"/>
      <c r="V75" s="2152" t="n"/>
      <c r="W75" s="2152" t="n"/>
      <c r="X75" s="2152" t="n"/>
      <c r="Y75" s="2152" t="n"/>
      <c r="Z75" s="2152" t="n"/>
      <c r="AA75" s="2152" t="n"/>
      <c r="AB75" s="2152" t="n"/>
      <c r="AC75" s="613" t="n"/>
      <c r="AD75" s="613" t="n"/>
      <c r="AE75" s="613" t="n"/>
      <c r="AF75" s="613" t="n"/>
      <c r="AG75" s="613" t="n"/>
      <c r="AH75" s="613" t="n"/>
      <c r="AI75" s="613" t="n"/>
      <c r="AJ75" s="613" t="n"/>
      <c r="AK75" s="613" t="n"/>
      <c r="AL75" s="613" t="n"/>
      <c r="AM75" s="613" t="n"/>
      <c r="AN75" s="613" t="n"/>
      <c r="AO75" s="2152" t="n"/>
      <c r="AP75" s="613" t="n"/>
    </row>
    <row customFormat="1" r="76" s="2238" spans="1:44">
      <c r="A76" s="2248" t="n"/>
      <c r="B76" s="2152" t="n"/>
      <c r="C76" s="2152" t="n"/>
      <c r="D76" s="2152" t="n"/>
      <c r="E76" s="2152" t="n"/>
      <c r="F76" s="2152" t="n"/>
      <c r="G76" s="2152" t="n"/>
      <c r="H76" s="2152" t="n"/>
      <c r="I76" s="2152" t="n"/>
      <c r="J76" s="2152" t="n"/>
      <c r="K76" s="2152" t="n"/>
      <c r="L76" s="2152" t="n"/>
      <c r="M76" s="2152" t="n"/>
      <c r="N76" s="2152" t="n"/>
      <c r="O76" s="2152" t="n"/>
      <c r="P76" s="2152" t="n"/>
      <c r="Q76" s="2152" t="n"/>
      <c r="R76" s="2152" t="n"/>
      <c r="S76" s="2152" t="n"/>
      <c r="T76" s="2152" t="n"/>
      <c r="U76" s="2152" t="n"/>
      <c r="V76" s="2152" t="n"/>
      <c r="W76" s="2152" t="n"/>
      <c r="X76" s="2152" t="n"/>
      <c r="Y76" s="2152" t="n"/>
      <c r="Z76" s="2152" t="n"/>
      <c r="AA76" s="2152" t="n"/>
      <c r="AB76" s="2152" t="n"/>
      <c r="AC76" s="613" t="n"/>
      <c r="AD76" s="613" t="n"/>
      <c r="AE76" s="613" t="n"/>
      <c r="AF76" s="613" t="n"/>
      <c r="AG76" s="613" t="n"/>
      <c r="AH76" s="613" t="n"/>
      <c r="AI76" s="613" t="n"/>
      <c r="AJ76" s="613" t="n"/>
      <c r="AK76" s="613" t="n"/>
      <c r="AL76" s="613" t="n"/>
      <c r="AM76" s="613" t="n"/>
      <c r="AN76" s="613" t="n"/>
      <c r="AO76" s="2152" t="n"/>
      <c r="AP76" s="613" t="n"/>
    </row>
    <row customFormat="1" r="77" s="2238" spans="1:44">
      <c r="A77" s="2248" t="n"/>
      <c r="B77" s="2152" t="n"/>
      <c r="C77" s="2152" t="n"/>
      <c r="D77" s="2152" t="n"/>
      <c r="E77" s="2152" t="n"/>
      <c r="F77" s="2152" t="n"/>
      <c r="G77" s="2152" t="n"/>
      <c r="H77" s="2152" t="n"/>
      <c r="I77" s="2152" t="n"/>
      <c r="J77" s="2152" t="n"/>
      <c r="K77" s="2152" t="n"/>
      <c r="L77" s="2152" t="n"/>
      <c r="M77" s="2152" t="n"/>
      <c r="N77" s="2152" t="n"/>
      <c r="O77" s="2152" t="n"/>
      <c r="P77" s="2152" t="n"/>
      <c r="Q77" s="2152" t="n"/>
      <c r="R77" s="2152" t="n"/>
      <c r="S77" s="2152" t="n"/>
      <c r="T77" s="2152" t="n"/>
      <c r="U77" s="2152" t="n"/>
      <c r="V77" s="2152" t="n"/>
      <c r="W77" s="2152" t="n"/>
      <c r="X77" s="2152" t="n"/>
      <c r="Y77" s="2152" t="n"/>
      <c r="Z77" s="2152" t="n"/>
      <c r="AA77" s="2152" t="n"/>
      <c r="AB77" s="2152" t="n"/>
      <c r="AC77" s="613" t="n"/>
      <c r="AD77" s="613" t="n"/>
      <c r="AE77" s="613" t="n"/>
      <c r="AF77" s="613" t="n"/>
      <c r="AG77" s="613" t="n"/>
      <c r="AH77" s="613" t="n"/>
      <c r="AI77" s="613" t="n"/>
      <c r="AJ77" s="613" t="n"/>
      <c r="AK77" s="613" t="n"/>
      <c r="AL77" s="613" t="n"/>
      <c r="AM77" s="613" t="n"/>
      <c r="AN77" s="613" t="n"/>
      <c r="AO77" s="2152" t="n"/>
      <c r="AP77" s="613" t="n"/>
    </row>
    <row customFormat="1" customHeight="1" ht="18" r="78" s="2174" spans="1:44" thickBot="1">
      <c r="A78" s="2268" t="n"/>
      <c r="B78" s="534" t="n"/>
      <c r="C78" s="2333" t="n"/>
      <c r="D78" s="2333" t="n"/>
      <c r="E78" s="2268" t="n"/>
      <c r="F78" s="2268" t="n"/>
      <c r="G78" s="2268" t="n"/>
      <c r="H78" s="2268" t="n"/>
      <c r="I78" s="2268" t="n"/>
      <c r="J78" s="2268" t="n"/>
      <c r="K78" s="2268" t="n"/>
      <c r="L78" s="2268" t="n"/>
      <c r="M78" s="2268" t="n"/>
      <c r="N78" s="2268" t="n"/>
      <c r="O78" s="534" t="n"/>
      <c r="P78" s="536" t="n"/>
      <c r="Q78" s="536" t="n"/>
      <c r="R78" s="536" t="n"/>
      <c r="S78" s="695" t="n"/>
      <c r="T78" s="695" t="n"/>
      <c r="U78" s="695" t="n"/>
      <c r="V78" s="695" t="n"/>
      <c r="W78" s="695" t="n"/>
      <c r="X78" s="695" t="n"/>
      <c r="Y78" s="695" t="n"/>
      <c r="Z78" s="695" t="n"/>
      <c r="AA78" s="695" t="n"/>
      <c r="AB78" s="534" t="n"/>
      <c r="AC78" s="534" t="n"/>
      <c r="AD78" s="534" t="n"/>
      <c r="AE78" s="534" t="n"/>
      <c r="AF78" s="713" t="n"/>
      <c r="AG78" s="713" t="n"/>
      <c r="AH78" s="713" t="n"/>
      <c r="AI78" s="713" t="n"/>
      <c r="AJ78" s="713" t="n"/>
      <c r="AK78" s="713" t="n"/>
      <c r="AL78" s="713" t="n"/>
      <c r="AM78" s="713" t="n"/>
      <c r="AN78" s="713" t="n"/>
      <c r="AO78" s="534" t="n"/>
    </row>
    <row customFormat="1" customHeight="1" ht="18" r="79" s="2216" spans="1:44">
      <c r="A79" s="2334" t="n">
        <v>12273</v>
      </c>
      <c r="B79" s="2177" t="n"/>
      <c r="C79" s="2335">
        <f>$C$2</f>
        <v/>
      </c>
      <c r="E79" s="2336" t="n"/>
      <c r="F79" s="2336" t="n"/>
      <c r="G79" s="2337" t="n"/>
      <c r="H79" s="2337" t="n"/>
      <c r="I79" s="2337" t="n"/>
      <c r="J79" s="2338" t="n"/>
      <c r="K79" s="2336" t="n"/>
      <c r="L79" s="2336" t="n"/>
      <c r="M79" s="2337" t="n"/>
      <c r="N79" s="2339" t="n"/>
      <c r="O79" s="2254" t="n"/>
      <c r="P79" s="2251">
        <f>$P$2</f>
        <v/>
      </c>
      <c r="Q79" s="2252" t="n"/>
      <c r="R79" s="2340" t="n"/>
      <c r="S79" s="2337" t="n"/>
      <c r="T79" s="2338" t="n"/>
      <c r="U79" s="2337" t="n"/>
      <c r="V79" s="2337" t="n"/>
      <c r="W79" s="2337" t="n"/>
      <c r="X79" s="2338" t="n"/>
      <c r="Y79" s="2337" t="n"/>
      <c r="Z79" s="2338" t="n"/>
      <c r="AA79" s="2341" t="n"/>
      <c r="AB79" s="2254" t="n"/>
      <c r="AC79" s="2251">
        <f>$AC$2</f>
        <v/>
      </c>
      <c r="AD79" s="2252" t="n"/>
      <c r="AE79" s="2342" t="n"/>
      <c r="AF79" s="2337" t="n"/>
      <c r="AG79" s="2337" t="n"/>
      <c r="AH79" s="2337" t="n"/>
      <c r="AI79" s="2338" t="n"/>
      <c r="AJ79" s="2337" t="n"/>
      <c r="AK79" s="2338" t="n"/>
      <c r="AL79" s="2337" t="n"/>
      <c r="AM79" s="2338" t="n"/>
      <c r="AN79" s="2341" t="n"/>
      <c r="AO79" s="2177" t="n"/>
    </row>
    <row customFormat="1" customHeight="1" ht="30.75" r="80" s="2226" spans="1:44">
      <c r="B80" s="2182" t="n"/>
      <c r="C80" s="2183" t="s">
        <v>62</v>
      </c>
      <c r="D80" s="2184" t="s">
        <v>63</v>
      </c>
      <c r="E80" s="2281" t="s">
        <v>64</v>
      </c>
      <c r="F80" s="2282" t="s">
        <v>174</v>
      </c>
      <c r="G80" s="2184" t="s">
        <v>66</v>
      </c>
      <c r="H80" s="2281" t="s">
        <v>67</v>
      </c>
      <c r="I80" s="2282" t="s">
        <v>69</v>
      </c>
      <c r="J80" s="2184" t="s">
        <v>70</v>
      </c>
      <c r="K80" s="2281" t="s">
        <v>71</v>
      </c>
      <c r="L80" s="2283" t="s">
        <v>72</v>
      </c>
      <c r="M80" s="2184" t="s">
        <v>73</v>
      </c>
      <c r="N80" s="2284" t="s">
        <v>74</v>
      </c>
      <c r="O80" s="2182" t="n"/>
      <c r="P80" s="2183" t="s">
        <v>62</v>
      </c>
      <c r="Q80" s="2184" t="s">
        <v>63</v>
      </c>
      <c r="R80" s="2281" t="s">
        <v>64</v>
      </c>
      <c r="S80" s="2282" t="s">
        <v>174</v>
      </c>
      <c r="T80" s="2184" t="s">
        <v>66</v>
      </c>
      <c r="U80" s="2281" t="s">
        <v>67</v>
      </c>
      <c r="V80" s="2282" t="s">
        <v>69</v>
      </c>
      <c r="W80" s="2184" t="s">
        <v>70</v>
      </c>
      <c r="X80" s="2281" t="s">
        <v>71</v>
      </c>
      <c r="Y80" s="2283" t="s">
        <v>72</v>
      </c>
      <c r="Z80" s="2184" t="s">
        <v>73</v>
      </c>
      <c r="AA80" s="2284" t="s">
        <v>74</v>
      </c>
      <c r="AB80" s="2182" t="n"/>
      <c r="AC80" s="2183" t="s">
        <v>62</v>
      </c>
      <c r="AD80" s="2184" t="s">
        <v>63</v>
      </c>
      <c r="AE80" s="2281" t="s">
        <v>64</v>
      </c>
      <c r="AF80" s="2282" t="s">
        <v>174</v>
      </c>
      <c r="AG80" s="2184" t="s">
        <v>66</v>
      </c>
      <c r="AH80" s="2281" t="s">
        <v>67</v>
      </c>
      <c r="AI80" s="2282" t="s">
        <v>69</v>
      </c>
      <c r="AJ80" s="2184" t="s">
        <v>70</v>
      </c>
      <c r="AK80" s="2281" t="s">
        <v>71</v>
      </c>
      <c r="AL80" s="2283" t="s">
        <v>72</v>
      </c>
      <c r="AM80" s="2184" t="s">
        <v>73</v>
      </c>
      <c r="AN80" s="2284" t="s">
        <v>74</v>
      </c>
      <c r="AO80" s="2182" t="n"/>
    </row>
    <row customFormat="1" r="81" s="2173" spans="1:44">
      <c r="A81" s="2255" t="s">
        <v>156</v>
      </c>
      <c r="B81" s="2187" t="n"/>
      <c r="C81" s="2188" t="n"/>
      <c r="D81" s="2189" t="n"/>
      <c r="E81" s="2189" t="n"/>
      <c r="F81" s="2286" t="n"/>
      <c r="G81" s="2189" t="n"/>
      <c r="H81" s="2189" t="n"/>
      <c r="I81" s="2206" t="n"/>
      <c r="J81" s="2206" t="n"/>
      <c r="K81" s="2287" t="n"/>
      <c r="L81" s="2287" t="n"/>
      <c r="M81" s="2287" t="n"/>
      <c r="N81" s="2288" t="n"/>
      <c r="O81" s="2187" t="n"/>
      <c r="P81" s="2188">
        <f>PL!D268</f>
        <v/>
      </c>
      <c r="Q81" s="2189">
        <f>PL!H268</f>
        <v/>
      </c>
      <c r="R81" s="2189">
        <f>PL!L268</f>
        <v/>
      </c>
      <c r="S81" s="2286">
        <f>PL!P268</f>
        <v/>
      </c>
      <c r="T81" s="2189">
        <f>PL!T268</f>
        <v/>
      </c>
      <c r="U81" s="2189">
        <f>PL!X268</f>
        <v/>
      </c>
      <c r="V81" s="2206">
        <f>PL!AB268</f>
        <v/>
      </c>
      <c r="W81" s="2206">
        <f>PL!AF268</f>
        <v/>
      </c>
      <c r="X81" s="2287">
        <f>PL!AJ268</f>
        <v/>
      </c>
      <c r="Y81" s="2287">
        <f>PL!AN268</f>
        <v/>
      </c>
      <c r="Z81" s="2287">
        <f>PL!AR268</f>
        <v/>
      </c>
      <c r="AA81" s="2288">
        <f>PL!AV268</f>
        <v/>
      </c>
      <c r="AB81" s="2187" t="n"/>
      <c r="AC81" s="2188" t="n"/>
      <c r="AD81" s="2189" t="n"/>
      <c r="AE81" s="2189" t="n"/>
      <c r="AF81" s="2286" t="n"/>
      <c r="AG81" s="2189" t="n"/>
      <c r="AH81" s="2189" t="n"/>
      <c r="AI81" s="2206" t="n"/>
      <c r="AJ81" s="2206" t="n"/>
      <c r="AK81" s="2287" t="n"/>
      <c r="AL81" s="2287" t="n"/>
      <c r="AM81" s="2287" t="n"/>
      <c r="AN81" s="2288" t="n"/>
      <c r="AO81" s="2187" t="n"/>
      <c r="AP81" s="554">
        <f>(R81-Q81)/Q81</f>
        <v/>
      </c>
      <c r="AQ81" s="2228" t="n"/>
    </row>
    <row customFormat="1" r="82" s="2173" spans="1:44">
      <c r="A82" s="2255" t="s">
        <v>157</v>
      </c>
      <c r="B82" s="2187" t="n"/>
      <c r="C82" s="2188" t="n"/>
      <c r="D82" s="2189" t="n"/>
      <c r="E82" s="2189" t="n"/>
      <c r="F82" s="2286" t="n"/>
      <c r="G82" s="2189" t="n"/>
      <c r="H82" s="2189" t="n"/>
      <c r="I82" s="2189" t="n"/>
      <c r="J82" s="2189" t="n"/>
      <c r="K82" s="2189" t="n"/>
      <c r="L82" s="2189" t="n"/>
      <c r="M82" s="2189" t="n"/>
      <c r="N82" s="2190" t="n"/>
      <c r="O82" s="2187" t="n"/>
      <c r="P82" s="2188">
        <f>PL!D275</f>
        <v/>
      </c>
      <c r="Q82" s="2189">
        <f>PL!H275</f>
        <v/>
      </c>
      <c r="R82" s="2189">
        <f>PL!L275</f>
        <v/>
      </c>
      <c r="S82" s="2286">
        <f>PL!P275</f>
        <v/>
      </c>
      <c r="T82" s="2189">
        <f>PL!T275</f>
        <v/>
      </c>
      <c r="U82" s="2189">
        <f>PL!X275</f>
        <v/>
      </c>
      <c r="V82" s="2189">
        <f>PL!AB275</f>
        <v/>
      </c>
      <c r="W82" s="2189">
        <f>PL!AF275</f>
        <v/>
      </c>
      <c r="X82" s="2189">
        <f>PL!AJ275</f>
        <v/>
      </c>
      <c r="Y82" s="2189">
        <f>PL!AN275</f>
        <v/>
      </c>
      <c r="Z82" s="2189">
        <f>PL!AR275</f>
        <v/>
      </c>
      <c r="AA82" s="2190">
        <f>PL!AV275</f>
        <v/>
      </c>
      <c r="AB82" s="2187" t="n"/>
      <c r="AC82" s="2188" t="n"/>
      <c r="AD82" s="2189" t="n"/>
      <c r="AE82" s="2189" t="n"/>
      <c r="AF82" s="2286" t="n"/>
      <c r="AG82" s="2189" t="n"/>
      <c r="AH82" s="2189" t="n"/>
      <c r="AI82" s="2189" t="n"/>
      <c r="AJ82" s="2189" t="n"/>
      <c r="AK82" s="2189" t="n"/>
      <c r="AL82" s="2189" t="n"/>
      <c r="AM82" s="2189" t="n"/>
      <c r="AN82" s="2190" t="n"/>
      <c r="AO82" s="2187" t="n"/>
      <c r="AP82" s="554">
        <f>(R82-Q82)/Q82</f>
        <v/>
      </c>
      <c r="AQ82" s="2228" t="n"/>
    </row>
    <row customFormat="1" r="83" s="2173" spans="1:44">
      <c r="A83" s="2255" t="s">
        <v>158</v>
      </c>
      <c r="B83" s="2187" t="n"/>
      <c r="C83" s="2188" t="n"/>
      <c r="D83" s="2189" t="n"/>
      <c r="E83" s="2189" t="n"/>
      <c r="F83" s="2286" t="n"/>
      <c r="G83" s="2189" t="n"/>
      <c r="H83" s="2189" t="n"/>
      <c r="I83" s="2287" t="n"/>
      <c r="J83" s="2287" t="n"/>
      <c r="K83" s="2287" t="n"/>
      <c r="L83" s="2287" t="n"/>
      <c r="M83" s="2287" t="n"/>
      <c r="N83" s="2289" t="n"/>
      <c r="O83" s="2187" t="n"/>
      <c r="P83" s="2188">
        <f>PL!D271</f>
        <v/>
      </c>
      <c r="Q83" s="2189">
        <f>PL!H271</f>
        <v/>
      </c>
      <c r="R83" s="2189">
        <f>PL!L271</f>
        <v/>
      </c>
      <c r="S83" s="2286">
        <f>PL!P271</f>
        <v/>
      </c>
      <c r="T83" s="2189">
        <f>PL!T271</f>
        <v/>
      </c>
      <c r="U83" s="2189">
        <f>PL!X271</f>
        <v/>
      </c>
      <c r="V83" s="2287">
        <f>PL!AB271</f>
        <v/>
      </c>
      <c r="W83" s="2287">
        <f>PL!AF271</f>
        <v/>
      </c>
      <c r="X83" s="2287">
        <f>PL!AJ271</f>
        <v/>
      </c>
      <c r="Y83" s="2287">
        <f>PL!AN271</f>
        <v/>
      </c>
      <c r="Z83" s="2287">
        <f>PL!AR271</f>
        <v/>
      </c>
      <c r="AA83" s="2289">
        <f>PL!AV271</f>
        <v/>
      </c>
      <c r="AB83" s="2187" t="n"/>
      <c r="AC83" s="2188" t="n"/>
      <c r="AD83" s="2189" t="n"/>
      <c r="AE83" s="2189" t="n"/>
      <c r="AF83" s="2286" t="n"/>
      <c r="AG83" s="2189" t="n"/>
      <c r="AH83" s="2189" t="n"/>
      <c r="AI83" s="2287" t="n"/>
      <c r="AJ83" s="2287" t="n"/>
      <c r="AK83" s="2287" t="n"/>
      <c r="AL83" s="2287" t="n"/>
      <c r="AM83" s="2287" t="n"/>
      <c r="AN83" s="2289" t="n"/>
      <c r="AO83" s="2187" t="n"/>
      <c r="AP83" s="554">
        <f>(R83-Q83)/Q83</f>
        <v/>
      </c>
      <c r="AQ83" s="2228" t="n"/>
    </row>
    <row customFormat="1" r="84" s="2173" spans="1:44">
      <c r="A84" s="2255" t="s">
        <v>159</v>
      </c>
      <c r="B84" s="2187" t="n"/>
      <c r="C84" s="2188" t="n"/>
      <c r="D84" s="2189" t="n"/>
      <c r="E84" s="2189" t="n"/>
      <c r="F84" s="2286" t="n"/>
      <c r="G84" s="2189" t="n"/>
      <c r="H84" s="2189" t="n"/>
      <c r="I84" s="2189" t="n"/>
      <c r="J84" s="2189" t="n"/>
      <c r="K84" s="2189" t="n"/>
      <c r="L84" s="2189" t="n"/>
      <c r="M84" s="2189" t="n"/>
      <c r="N84" s="2190" t="n"/>
      <c r="O84" s="2187" t="n"/>
      <c r="P84" s="2188">
        <f>PL!D270+PL!D281+PL!D272</f>
        <v/>
      </c>
      <c r="Q84" s="2189">
        <f>PL!H270+PL!H281+PL!H272</f>
        <v/>
      </c>
      <c r="R84" s="2189">
        <f>PL!L270+PL!L281+PL!L272</f>
        <v/>
      </c>
      <c r="S84" s="2286">
        <f>PL!P270+PL!P281+PL!P272</f>
        <v/>
      </c>
      <c r="T84" s="2189">
        <f>PL!T270+PL!T281+PL!T272</f>
        <v/>
      </c>
      <c r="U84" s="2189">
        <f>PL!X270+PL!X281+PL!X272</f>
        <v/>
      </c>
      <c r="V84" s="2189">
        <f>PL!AB270+PL!AB281+PL!AB272</f>
        <v/>
      </c>
      <c r="W84" s="2189">
        <f>PL!AF270+PL!AF281+PL!AF272</f>
        <v/>
      </c>
      <c r="X84" s="2189">
        <f>PL!AJ270+PL!AJ281+PL!AJ272</f>
        <v/>
      </c>
      <c r="Y84" s="2189">
        <f>PL!AN270+PL!AN281+PL!AN272</f>
        <v/>
      </c>
      <c r="Z84" s="2189">
        <f>PL!AR270+PL!AR281+PL!AR272</f>
        <v/>
      </c>
      <c r="AA84" s="2190">
        <f>PL!AV270+PL!AV281+PL!AV272</f>
        <v/>
      </c>
      <c r="AB84" s="2187" t="n"/>
      <c r="AC84" s="2188" t="n"/>
      <c r="AD84" s="2189" t="n"/>
      <c r="AE84" s="2189" t="n"/>
      <c r="AF84" s="2286" t="n"/>
      <c r="AG84" s="2189" t="n"/>
      <c r="AH84" s="2189" t="n"/>
      <c r="AI84" s="2189" t="n"/>
      <c r="AJ84" s="2189" t="n"/>
      <c r="AK84" s="2189" t="n"/>
      <c r="AL84" s="2189" t="n"/>
      <c r="AM84" s="2189" t="n"/>
      <c r="AN84" s="2190" t="n"/>
      <c r="AO84" s="2187" t="n"/>
      <c r="AP84" s="554">
        <f>(R84-Q84)/Q84</f>
        <v/>
      </c>
      <c r="AQ84" s="2228" t="n"/>
    </row>
    <row customFormat="1" r="85" s="2173" spans="1:44">
      <c r="A85" s="2255" t="s">
        <v>160</v>
      </c>
      <c r="B85" s="2187" t="n"/>
      <c r="C85" s="2188" t="n"/>
      <c r="D85" s="2189" t="n"/>
      <c r="E85" s="2189" t="n"/>
      <c r="F85" s="2286" t="n"/>
      <c r="G85" s="2189" t="n"/>
      <c r="H85" s="2189" t="n"/>
      <c r="I85" s="2287" t="n"/>
      <c r="J85" s="2287" t="n"/>
      <c r="K85" s="2287" t="n"/>
      <c r="L85" s="2287" t="n"/>
      <c r="M85" s="2287" t="n"/>
      <c r="N85" s="2289" t="n"/>
      <c r="O85" s="2187" t="n"/>
      <c r="P85" s="2188">
        <f>PL!D278</f>
        <v/>
      </c>
      <c r="Q85" s="2189">
        <f>PL!H278</f>
        <v/>
      </c>
      <c r="R85" s="2189">
        <f>PL!L278</f>
        <v/>
      </c>
      <c r="S85" s="2286">
        <f>PL!P278</f>
        <v/>
      </c>
      <c r="T85" s="2189">
        <f>PL!T278</f>
        <v/>
      </c>
      <c r="U85" s="2189">
        <f>PL!X278</f>
        <v/>
      </c>
      <c r="V85" s="2287">
        <f>PL!AB278</f>
        <v/>
      </c>
      <c r="W85" s="2287">
        <f>PL!AF278</f>
        <v/>
      </c>
      <c r="X85" s="2287">
        <f>PL!AJ278</f>
        <v/>
      </c>
      <c r="Y85" s="2287">
        <f>PL!AN278</f>
        <v/>
      </c>
      <c r="Z85" s="2287">
        <f>PL!AR278</f>
        <v/>
      </c>
      <c r="AA85" s="2289">
        <f>PL!AV278</f>
        <v/>
      </c>
      <c r="AB85" s="2187" t="n"/>
      <c r="AC85" s="2188" t="n"/>
      <c r="AD85" s="2189" t="n"/>
      <c r="AE85" s="2189" t="n"/>
      <c r="AF85" s="2286" t="n"/>
      <c r="AG85" s="2189" t="n"/>
      <c r="AH85" s="2189" t="n"/>
      <c r="AI85" s="2287" t="n"/>
      <c r="AJ85" s="2287" t="n"/>
      <c r="AK85" s="2287" t="n"/>
      <c r="AL85" s="2287" t="n"/>
      <c r="AM85" s="2287" t="n"/>
      <c r="AN85" s="2289" t="n"/>
      <c r="AO85" s="2187" t="n"/>
      <c r="AP85" s="554">
        <f>(R85-Q85)/Q85</f>
        <v/>
      </c>
      <c r="AQ85" s="2228" t="n"/>
    </row>
    <row customFormat="1" r="86" s="2173" spans="1:44">
      <c r="A86" s="2255" t="s">
        <v>161</v>
      </c>
      <c r="B86" s="2187" t="n"/>
      <c r="C86" s="2188" t="n"/>
      <c r="D86" s="2189" t="n"/>
      <c r="E86" s="2189" t="n"/>
      <c r="F86" s="2286" t="n"/>
      <c r="G86" s="2189" t="n"/>
      <c r="H86" s="2189" t="n"/>
      <c r="I86" s="2189" t="n"/>
      <c r="J86" s="2189" t="n"/>
      <c r="K86" s="2189" t="n"/>
      <c r="L86" s="2189" t="n"/>
      <c r="M86" s="2189" t="n"/>
      <c r="N86" s="2190" t="n"/>
      <c r="O86" s="2187" t="n"/>
      <c r="P86" s="2188">
        <f>PL!D276</f>
        <v/>
      </c>
      <c r="Q86" s="2189">
        <f>PL!H276</f>
        <v/>
      </c>
      <c r="R86" s="2189">
        <f>PL!L276</f>
        <v/>
      </c>
      <c r="S86" s="2286">
        <f>PL!P276</f>
        <v/>
      </c>
      <c r="T86" s="2189">
        <f>PL!T276</f>
        <v/>
      </c>
      <c r="U86" s="2189">
        <f>PL!X276</f>
        <v/>
      </c>
      <c r="V86" s="2189">
        <f>PL!AB276</f>
        <v/>
      </c>
      <c r="W86" s="2189">
        <f>PL!AF276</f>
        <v/>
      </c>
      <c r="X86" s="2189">
        <f>PL!AJ276</f>
        <v/>
      </c>
      <c r="Y86" s="2189">
        <f>PL!AN276</f>
        <v/>
      </c>
      <c r="Z86" s="2189">
        <f>PL!AR276</f>
        <v/>
      </c>
      <c r="AA86" s="2190">
        <f>PL!AV276</f>
        <v/>
      </c>
      <c r="AB86" s="2187" t="n"/>
      <c r="AC86" s="2188" t="n"/>
      <c r="AD86" s="2189" t="n"/>
      <c r="AE86" s="2189" t="n"/>
      <c r="AF86" s="2286" t="n"/>
      <c r="AG86" s="2189" t="n"/>
      <c r="AH86" s="2189" t="n"/>
      <c r="AI86" s="2189" t="n"/>
      <c r="AJ86" s="2189" t="n"/>
      <c r="AK86" s="2189" t="n"/>
      <c r="AL86" s="2189" t="n"/>
      <c r="AM86" s="2189" t="n"/>
      <c r="AN86" s="2190" t="n"/>
      <c r="AO86" s="2187" t="n"/>
      <c r="AP86" s="554" t="n"/>
      <c r="AQ86" s="2228" t="n"/>
    </row>
    <row customFormat="1" r="87" s="2173" spans="1:44">
      <c r="A87" s="2255" t="s">
        <v>162</v>
      </c>
      <c r="B87" s="2187" t="n"/>
      <c r="C87" s="2188" t="n"/>
      <c r="D87" s="2189" t="n"/>
      <c r="E87" s="2189" t="n"/>
      <c r="F87" s="2286" t="n"/>
      <c r="G87" s="2189" t="n"/>
      <c r="H87" s="2189" t="n"/>
      <c r="I87" s="2287" t="n"/>
      <c r="J87" s="2287" t="n"/>
      <c r="K87" s="2287" t="n"/>
      <c r="L87" s="2287" t="n"/>
      <c r="M87" s="2287" t="n"/>
      <c r="N87" s="2190" t="n"/>
      <c r="O87" s="2187" t="n"/>
      <c r="P87" s="2188">
        <f>PL!D277</f>
        <v/>
      </c>
      <c r="Q87" s="2189">
        <f>PL!H277</f>
        <v/>
      </c>
      <c r="R87" s="2189">
        <f>PL!L277</f>
        <v/>
      </c>
      <c r="S87" s="2286">
        <f>PL!P277</f>
        <v/>
      </c>
      <c r="T87" s="2189">
        <f>PL!T277</f>
        <v/>
      </c>
      <c r="U87" s="2189">
        <f>PL!X277</f>
        <v/>
      </c>
      <c r="V87" s="2287">
        <f>PL!AB277</f>
        <v/>
      </c>
      <c r="W87" s="2287">
        <f>PL!AF277</f>
        <v/>
      </c>
      <c r="X87" s="2287">
        <f>PL!AJ277</f>
        <v/>
      </c>
      <c r="Y87" s="2287">
        <f>PL!AN277</f>
        <v/>
      </c>
      <c r="Z87" s="2287">
        <f>PL!AR277</f>
        <v/>
      </c>
      <c r="AA87" s="2190">
        <f>PL!AV277</f>
        <v/>
      </c>
      <c r="AB87" s="2187" t="n"/>
      <c r="AC87" s="2188" t="n"/>
      <c r="AD87" s="2189" t="n"/>
      <c r="AE87" s="2189" t="n"/>
      <c r="AF87" s="2286" t="n"/>
      <c r="AG87" s="2189" t="n"/>
      <c r="AH87" s="2189" t="n"/>
      <c r="AI87" s="2287" t="n"/>
      <c r="AJ87" s="2287" t="n"/>
      <c r="AK87" s="2287" t="n"/>
      <c r="AL87" s="2287" t="n"/>
      <c r="AM87" s="2287" t="n"/>
      <c r="AN87" s="2190" t="n"/>
      <c r="AO87" s="2187" t="n"/>
      <c r="AP87" s="554">
        <f>(R87-Q87)/Q87</f>
        <v/>
      </c>
      <c r="AQ87" s="2228" t="n"/>
    </row>
    <row customFormat="1" r="88" s="2216" spans="1:44">
      <c r="A88" s="2255" t="s">
        <v>163</v>
      </c>
      <c r="B88" s="2187" t="n"/>
      <c r="C88" s="2188" t="n"/>
      <c r="D88" s="2189" t="n"/>
      <c r="E88" s="2189" t="n"/>
      <c r="F88" s="2286" t="n"/>
      <c r="G88" s="2189" t="n"/>
      <c r="H88" s="2189" t="n"/>
      <c r="I88" s="2189" t="n"/>
      <c r="J88" s="2189" t="n"/>
      <c r="K88" s="2189" t="n"/>
      <c r="L88" s="2189" t="n"/>
      <c r="M88" s="2189" t="n"/>
      <c r="N88" s="2190" t="n"/>
      <c r="O88" s="2187" t="n"/>
      <c r="P88" s="2188">
        <f>PL!D273</f>
        <v/>
      </c>
      <c r="Q88" s="2189">
        <f>PL!H273</f>
        <v/>
      </c>
      <c r="R88" s="2189">
        <f>PL!L273</f>
        <v/>
      </c>
      <c r="S88" s="2286">
        <f>PL!P273</f>
        <v/>
      </c>
      <c r="T88" s="2189">
        <f>PL!T273</f>
        <v/>
      </c>
      <c r="U88" s="2189">
        <f>PL!X273</f>
        <v/>
      </c>
      <c r="V88" s="2189">
        <f>PL!AB273</f>
        <v/>
      </c>
      <c r="W88" s="2189">
        <f>PL!AF273</f>
        <v/>
      </c>
      <c r="X88" s="2189">
        <f>PL!AJ273</f>
        <v/>
      </c>
      <c r="Y88" s="2189">
        <f>PL!AN273</f>
        <v/>
      </c>
      <c r="Z88" s="2189">
        <f>PL!AR273</f>
        <v/>
      </c>
      <c r="AA88" s="2190">
        <f>PL!AV273</f>
        <v/>
      </c>
      <c r="AB88" s="2187" t="n"/>
      <c r="AC88" s="2188" t="n"/>
      <c r="AD88" s="2189" t="n"/>
      <c r="AE88" s="2230" t="n"/>
      <c r="AF88" s="2286" t="n"/>
      <c r="AG88" s="2189" t="n"/>
      <c r="AH88" s="2189" t="n"/>
      <c r="AI88" s="2189" t="n"/>
      <c r="AJ88" s="2189" t="n"/>
      <c r="AK88" s="2189" t="n"/>
      <c r="AL88" s="2189" t="n"/>
      <c r="AM88" s="2189" t="n"/>
      <c r="AN88" s="2190" t="n"/>
      <c r="AO88" s="2187" t="n"/>
      <c r="AP88" s="554">
        <f>(R88-Q88)/Q88</f>
        <v/>
      </c>
      <c r="AQ88" s="2228" t="n"/>
    </row>
    <row customFormat="1" r="89" s="2173" spans="1:44">
      <c r="A89" s="2255" t="s">
        <v>164</v>
      </c>
      <c r="B89" s="2187" t="n"/>
      <c r="C89" s="2313" t="n"/>
      <c r="D89" s="2189" t="n"/>
      <c r="E89" s="2189" t="n"/>
      <c r="F89" s="2286" t="n"/>
      <c r="G89" s="2189" t="n"/>
      <c r="H89" s="2189" t="n"/>
      <c r="I89" s="2314" t="n"/>
      <c r="J89" s="2314" t="n"/>
      <c r="K89" s="2314" t="n"/>
      <c r="L89" s="2314" t="n"/>
      <c r="M89" s="2314" t="n"/>
      <c r="N89" s="2315" t="n"/>
      <c r="O89" s="2187" t="n"/>
      <c r="P89" s="2188">
        <f>PL!D274+PL!D269</f>
        <v/>
      </c>
      <c r="Q89" s="2189">
        <f>PL!H274+PL!H269</f>
        <v/>
      </c>
      <c r="R89" s="2189">
        <f>PL!L274+PL!L269</f>
        <v/>
      </c>
      <c r="S89" s="2286">
        <f>PL!P274+PL!P269</f>
        <v/>
      </c>
      <c r="T89" s="2189">
        <f>PL!T274+PL!T269</f>
        <v/>
      </c>
      <c r="U89" s="2189">
        <f>PL!X274+PL!X269</f>
        <v/>
      </c>
      <c r="V89" s="2314">
        <f>PL!AB274+PL!AB269</f>
        <v/>
      </c>
      <c r="W89" s="2314">
        <f>PL!AF274+PL!AF269</f>
        <v/>
      </c>
      <c r="X89" s="2314">
        <f>PL!AJ274+PL!AJ269</f>
        <v/>
      </c>
      <c r="Y89" s="2314">
        <f>PL!AN274+PL!AN269</f>
        <v/>
      </c>
      <c r="Z89" s="2314">
        <f>PL!AR274+PL!AR269</f>
        <v/>
      </c>
      <c r="AA89" s="2315">
        <f>PL!AV274+PL!AV269</f>
        <v/>
      </c>
      <c r="AB89" s="2187" t="n"/>
      <c r="AC89" s="2188" t="n"/>
      <c r="AD89" s="2189" t="n"/>
      <c r="AE89" s="2189" t="n"/>
      <c r="AF89" s="2286" t="n"/>
      <c r="AG89" s="2189" t="n"/>
      <c r="AH89" s="2189" t="n"/>
      <c r="AI89" s="2314" t="n"/>
      <c r="AJ89" s="2314" t="n"/>
      <c r="AK89" s="2314" t="n"/>
      <c r="AL89" s="2314" t="n"/>
      <c r="AM89" s="2314" t="n"/>
      <c r="AN89" s="2315" t="n"/>
      <c r="AO89" s="2187" t="n"/>
      <c r="AP89" s="554">
        <f>(R89-Q89)/Q89</f>
        <v/>
      </c>
      <c r="AQ89" s="2228" t="n"/>
    </row>
    <row customFormat="1" r="90" s="2173" spans="1:44">
      <c r="A90" s="2256" t="s">
        <v>165</v>
      </c>
      <c r="B90" s="2195" t="n"/>
      <c r="C90" s="2318" t="n"/>
      <c r="D90" s="2319" t="n"/>
      <c r="E90" s="2319" t="n"/>
      <c r="F90" s="2320" t="n"/>
      <c r="G90" s="2319" t="n"/>
      <c r="H90" s="2319" t="n"/>
      <c r="I90" s="2319" t="n"/>
      <c r="J90" s="2197" t="n"/>
      <c r="K90" s="2320" t="n"/>
      <c r="L90" s="2319" t="n"/>
      <c r="M90" s="2197" t="n"/>
      <c r="N90" s="2343" t="n"/>
      <c r="O90" s="2195" t="n"/>
      <c r="P90" s="2232">
        <f>PL!D282+PL!D283+PL!D284</f>
        <v/>
      </c>
      <c r="Q90" s="2344">
        <f>PL!H282+PL!H283+PL!H284</f>
        <v/>
      </c>
      <c r="R90" s="2197">
        <f>PL!L282+PL!L283+PL!L284</f>
        <v/>
      </c>
      <c r="S90" s="2320">
        <f>PL!P282+PL!P283+PL!P284</f>
        <v/>
      </c>
      <c r="T90" s="2319">
        <f>PL!T282+PL!T283+PL!T284</f>
        <v/>
      </c>
      <c r="U90" s="2319">
        <f>PL!X282+PL!X283+PL!X284</f>
        <v/>
      </c>
      <c r="V90" s="2319">
        <f>PL!AB282+PL!AB283+PL!AB284</f>
        <v/>
      </c>
      <c r="W90" s="2197">
        <f>PL!AF282+PL!AF283+PL!AF284</f>
        <v/>
      </c>
      <c r="X90" s="2320">
        <f>PL!AJ282+PL!AJ283+PL!AJ284</f>
        <v/>
      </c>
      <c r="Y90" s="2319">
        <f>PL!AN282+PL!AN283+PL!AN284</f>
        <v/>
      </c>
      <c r="Z90" s="2197">
        <f>PL!AR282+PL!AR283+PL!AR284</f>
        <v/>
      </c>
      <c r="AA90" s="2343">
        <f>PL!AV282+PL!AV283+PL!AV284</f>
        <v/>
      </c>
      <c r="AB90" s="2195" t="n"/>
      <c r="AC90" s="2196" t="n"/>
      <c r="AD90" s="2197" t="n"/>
      <c r="AE90" s="2197" t="n"/>
      <c r="AF90" s="2320" t="n"/>
      <c r="AG90" s="2319" t="n"/>
      <c r="AH90" s="2319" t="n"/>
      <c r="AI90" s="2319" t="n"/>
      <c r="AJ90" s="2197" t="n"/>
      <c r="AK90" s="2320" t="n"/>
      <c r="AL90" s="2319" t="n"/>
      <c r="AM90" s="2197" t="n"/>
      <c r="AN90" s="2343" t="n"/>
      <c r="AO90" s="2187" t="n"/>
      <c r="AP90" s="554">
        <f>(R90-Q90)/Q90</f>
        <v/>
      </c>
      <c r="AQ90" s="2228" t="n"/>
    </row>
    <row customFormat="1" r="91" s="2173" spans="1:44">
      <c r="A91" s="2255" t="s">
        <v>89</v>
      </c>
      <c r="B91" s="2187" t="n"/>
      <c r="C91" s="2257">
        <f>PL!C285</f>
        <v/>
      </c>
      <c r="D91" s="2234">
        <f>PL!G285</f>
        <v/>
      </c>
      <c r="E91" s="2258">
        <f>PL!K285</f>
        <v/>
      </c>
      <c r="F91" s="2234">
        <f>PL!O285</f>
        <v/>
      </c>
      <c r="G91" s="2326">
        <f>PL!S285</f>
        <v/>
      </c>
      <c r="H91" s="2234">
        <f>PL!W285</f>
        <v/>
      </c>
      <c r="I91" s="2235">
        <f>PL!AA285</f>
        <v/>
      </c>
      <c r="J91" s="2235">
        <f>PL!AE285</f>
        <v/>
      </c>
      <c r="K91" s="2234">
        <f>PL!AI285</f>
        <v/>
      </c>
      <c r="L91" s="2234">
        <f>PL!AM285</f>
        <v/>
      </c>
      <c r="M91" s="2234">
        <f>PL!AQ285</f>
        <v/>
      </c>
      <c r="N91" s="2327">
        <f>PL!AU285</f>
        <v/>
      </c>
      <c r="O91" s="2187" t="n"/>
      <c r="P91" s="2235" t="n"/>
      <c r="Q91" s="2235" t="n"/>
      <c r="R91" s="2235" t="n"/>
      <c r="S91" s="2235" t="n"/>
      <c r="T91" s="2326" t="n"/>
      <c r="U91" s="2234" t="n"/>
      <c r="V91" s="2235" t="n"/>
      <c r="W91" s="2235" t="n"/>
      <c r="X91" s="2234" t="n"/>
      <c r="Y91" s="2234" t="n"/>
      <c r="Z91" s="2234" t="n"/>
      <c r="AA91" s="2327" t="n"/>
      <c r="AB91" s="2187" t="n"/>
      <c r="AC91" s="2235" t="n"/>
      <c r="AD91" s="2235" t="n"/>
      <c r="AE91" s="2235" t="n"/>
      <c r="AF91" s="2235" t="n"/>
      <c r="AG91" s="2326" t="n"/>
      <c r="AH91" s="2234" t="n"/>
      <c r="AI91" s="2235" t="n"/>
      <c r="AJ91" s="2235" t="n"/>
      <c r="AK91" s="2234" t="n"/>
      <c r="AL91" s="2234" t="n"/>
      <c r="AM91" s="2234" t="n"/>
      <c r="AN91" s="2327" t="n"/>
      <c r="AO91" s="2187" t="n"/>
    </row>
    <row customFormat="1" r="92" s="2173" spans="1:44">
      <c r="A92" s="2255" t="s">
        <v>153</v>
      </c>
      <c r="B92" s="2187" t="n"/>
      <c r="C92" s="2188" t="n"/>
      <c r="D92" s="2189" t="n"/>
      <c r="E92" s="2189" t="n"/>
      <c r="F92" s="2286" t="n"/>
      <c r="G92" s="2189" t="n"/>
      <c r="H92" s="2189" t="n"/>
      <c r="I92" s="2189" t="n"/>
      <c r="J92" s="2189" t="n"/>
      <c r="K92" s="2189" t="n"/>
      <c r="L92" s="2189" t="n"/>
      <c r="M92" s="2189" t="n"/>
      <c r="N92" s="2190" t="n"/>
      <c r="O92" s="2187" t="n"/>
      <c r="P92" s="2188" t="n"/>
      <c r="Q92" s="2189" t="n"/>
      <c r="R92" s="2189" t="n"/>
      <c r="S92" s="2286" t="n"/>
      <c r="T92" s="2189" t="n"/>
      <c r="U92" s="2189" t="n"/>
      <c r="V92" s="2189" t="n"/>
      <c r="W92" s="2189" t="n"/>
      <c r="X92" s="2189" t="n"/>
      <c r="Y92" s="2189" t="n"/>
      <c r="Z92" s="2189" t="n"/>
      <c r="AA92" s="2190" t="n"/>
      <c r="AB92" s="2187" t="n"/>
      <c r="AC92" s="2188">
        <f>SUM(C81:C92)-SUM(P81:P92)</f>
        <v/>
      </c>
      <c r="AD92" s="2189">
        <f>SUM(D81:D92)-SUM(Q81:Q92)</f>
        <v/>
      </c>
      <c r="AE92" s="2189">
        <f>SUM(E81:E92)-SUM(R81:R92)</f>
        <v/>
      </c>
      <c r="AF92" s="2189">
        <f>SUM(F81:F92)-SUM(S81:S92)</f>
        <v/>
      </c>
      <c r="AG92" s="2189">
        <f>SUM(G81:G92)-SUM(T81:T92)</f>
        <v/>
      </c>
      <c r="AH92" s="2189">
        <f>SUM(H81:H92)-SUM(U81:U92)</f>
        <v/>
      </c>
      <c r="AI92" s="2189">
        <f>SUM(I81:I92)-SUM(V81:V92)</f>
        <v/>
      </c>
      <c r="AJ92" s="2189">
        <f>SUM(J81:J92)-SUM(W81:W92)</f>
        <v/>
      </c>
      <c r="AK92" s="2189">
        <f>SUM(K81:K92)-SUM(X81:X92)</f>
        <v/>
      </c>
      <c r="AL92" s="2189">
        <f>SUM(L81:L92)-SUM(Y81:Y92)</f>
        <v/>
      </c>
      <c r="AM92" s="2189">
        <f>SUM(M81:M92)-SUM(Z81:Z92)</f>
        <v/>
      </c>
      <c r="AN92" s="2189">
        <f>SUM(N81:N92)-SUM(AA81:AA92)</f>
        <v/>
      </c>
      <c r="AO92" s="2187" t="n"/>
    </row>
    <row customFormat="1" r="93" s="2173" spans="1:44">
      <c r="A93" s="2204" t="s">
        <v>182</v>
      </c>
      <c r="B93" s="2187" t="n"/>
      <c r="C93" s="2205" t="n"/>
      <c r="D93" s="2206" t="n"/>
      <c r="E93" s="2206" t="n"/>
      <c r="F93" s="2286" t="n"/>
      <c r="G93" s="2189" t="n"/>
      <c r="H93" s="2189" t="n"/>
      <c r="I93" s="2189" t="n"/>
      <c r="J93" s="2189" t="n"/>
      <c r="K93" s="2189" t="n"/>
      <c r="L93" s="2189" t="n"/>
      <c r="M93" s="2189" t="n"/>
      <c r="N93" s="2190" t="n"/>
      <c r="O93" s="2187" t="n"/>
      <c r="P93" s="2205" t="n"/>
      <c r="Q93" s="2206" t="n"/>
      <c r="R93" s="2206" t="n"/>
      <c r="S93" s="2286" t="n"/>
      <c r="T93" s="2189" t="n"/>
      <c r="U93" s="2189" t="n"/>
      <c r="V93" s="2189" t="n"/>
      <c r="W93" s="2189" t="n"/>
      <c r="X93" s="2189" t="n"/>
      <c r="Y93" s="2189" t="n"/>
      <c r="Z93" s="2189" t="n"/>
      <c r="AA93" s="2190" t="n"/>
      <c r="AB93" s="2187" t="n"/>
      <c r="AC93" s="632">
        <f>AC94/C94</f>
        <v/>
      </c>
      <c r="AD93" s="633">
        <f>AD94/D94</f>
        <v/>
      </c>
      <c r="AE93" s="629">
        <f>AE94/E94</f>
        <v/>
      </c>
      <c r="AF93" s="629">
        <f>AF94/F94</f>
        <v/>
      </c>
      <c r="AG93" s="629">
        <f>AG94/G94</f>
        <v/>
      </c>
      <c r="AH93" s="629">
        <f>AH94/H94</f>
        <v/>
      </c>
      <c r="AI93" s="629">
        <f>AI94/I94</f>
        <v/>
      </c>
      <c r="AJ93" s="629">
        <f>AJ94/J94</f>
        <v/>
      </c>
      <c r="AK93" s="629">
        <f>AK94/K94</f>
        <v/>
      </c>
      <c r="AL93" s="629">
        <f>AL94/L94</f>
        <v/>
      </c>
      <c r="AM93" s="629">
        <f>AM94/M94</f>
        <v/>
      </c>
      <c r="AN93" s="629">
        <f>AN94/N94</f>
        <v/>
      </c>
      <c r="AO93" s="2187" t="n"/>
    </row>
    <row customFormat="1" customHeight="1" ht="18" r="94" s="2238" spans="1:44" thickBot="1">
      <c r="A94" s="2259" t="s">
        <v>173</v>
      </c>
      <c r="B94" s="2240" t="n"/>
      <c r="C94" s="2244">
        <f>SUM(C81:C92)</f>
        <v/>
      </c>
      <c r="D94" s="2245">
        <f>SUM(D81:D92)</f>
        <v/>
      </c>
      <c r="E94" s="2242">
        <f>SUM(E81:E92)</f>
        <v/>
      </c>
      <c r="F94" s="2242">
        <f>SUM(F81:F92)</f>
        <v/>
      </c>
      <c r="G94" s="2242">
        <f>SUM(G81:G92)</f>
        <v/>
      </c>
      <c r="H94" s="2242">
        <f>SUM(H81:H92)</f>
        <v/>
      </c>
      <c r="I94" s="2242">
        <f>SUM(I81:I92)</f>
        <v/>
      </c>
      <c r="J94" s="2242">
        <f>SUM(J81:J92)</f>
        <v/>
      </c>
      <c r="K94" s="2242">
        <f>SUM(K81:K92)</f>
        <v/>
      </c>
      <c r="L94" s="2242">
        <f>SUM(L81:L92)</f>
        <v/>
      </c>
      <c r="M94" s="2242">
        <f>SUM(M81:M92)</f>
        <v/>
      </c>
      <c r="N94" s="2242">
        <f>SUM(N81:N92)</f>
        <v/>
      </c>
      <c r="O94" s="2240" t="n"/>
      <c r="P94" s="2244">
        <f>SUM(P81:P92)</f>
        <v/>
      </c>
      <c r="Q94" s="2245">
        <f>SUM(Q81:Q92)</f>
        <v/>
      </c>
      <c r="R94" s="2242">
        <f>SUM(R81:R92)</f>
        <v/>
      </c>
      <c r="S94" s="2242">
        <f>SUM(S81:S92)</f>
        <v/>
      </c>
      <c r="T94" s="2242">
        <f>SUM(T81:T92)</f>
        <v/>
      </c>
      <c r="U94" s="2242">
        <f>SUM(U81:U92)</f>
        <v/>
      </c>
      <c r="V94" s="2242">
        <f>SUM(V81:V92)</f>
        <v/>
      </c>
      <c r="W94" s="2242">
        <f>SUM(W81:W92)</f>
        <v/>
      </c>
      <c r="X94" s="2242">
        <f>SUM(X81:X92)</f>
        <v/>
      </c>
      <c r="Y94" s="2242">
        <f>SUM(Y81:Y92)</f>
        <v/>
      </c>
      <c r="Z94" s="2242">
        <f>SUM(Z81:Z92)</f>
        <v/>
      </c>
      <c r="AA94" s="2242">
        <f>SUM(AA81:AA92)</f>
        <v/>
      </c>
      <c r="AB94" s="2240" t="n"/>
      <c r="AC94" s="2244">
        <f>SUM(AC81:AC92)</f>
        <v/>
      </c>
      <c r="AD94" s="2245">
        <f>SUM(AD81:AD92)</f>
        <v/>
      </c>
      <c r="AE94" s="2242">
        <f>SUM(AE81:AE92)</f>
        <v/>
      </c>
      <c r="AF94" s="2242">
        <f>SUM(AF81:AF92)</f>
        <v/>
      </c>
      <c r="AG94" s="2242">
        <f>SUM(AG81:AG92)</f>
        <v/>
      </c>
      <c r="AH94" s="2242">
        <f>SUM(AH81:AH92)</f>
        <v/>
      </c>
      <c r="AI94" s="2242">
        <f>SUM(AI81:AI92)</f>
        <v/>
      </c>
      <c r="AJ94" s="2242">
        <f>SUM(AJ81:AJ92)</f>
        <v/>
      </c>
      <c r="AK94" s="2242">
        <f>SUM(AK81:AK92)</f>
        <v/>
      </c>
      <c r="AL94" s="2242">
        <f>SUM(AL81:AL92)</f>
        <v/>
      </c>
      <c r="AM94" s="2242">
        <f>SUM(AM81:AM92)</f>
        <v/>
      </c>
      <c r="AN94" s="2242">
        <f>SUM(AN81:AN92)</f>
        <v/>
      </c>
      <c r="AO94" s="2240" t="n"/>
      <c r="AP94" s="613" t="n"/>
    </row>
    <row customFormat="1" customHeight="1" ht="18" r="95" s="2174" spans="1:44">
      <c r="A95" s="2175" t="n"/>
      <c r="B95" s="534" t="n"/>
      <c r="C95" s="2127" t="n"/>
      <c r="D95" s="2127" t="n"/>
      <c r="E95" s="2175" t="n"/>
      <c r="F95" s="2175" t="n"/>
      <c r="G95" s="2175" t="n"/>
      <c r="H95" s="2175" t="n"/>
      <c r="I95" s="2175" t="n"/>
      <c r="J95" s="2175" t="n"/>
      <c r="K95" s="2175" t="n"/>
      <c r="L95" s="2175" t="n"/>
      <c r="M95" s="2175" t="n"/>
      <c r="N95" s="2175" t="n"/>
      <c r="O95" s="534" t="n"/>
      <c r="P95" s="536" t="n"/>
      <c r="Q95" s="536" t="n"/>
      <c r="R95" s="536" t="n"/>
      <c r="S95" s="536" t="n"/>
      <c r="T95" s="536" t="n"/>
      <c r="U95" s="536" t="n"/>
      <c r="V95" s="536" t="n"/>
      <c r="W95" s="536" t="n"/>
      <c r="X95" s="536" t="n"/>
      <c r="Y95" s="536" t="n"/>
      <c r="Z95" s="536" t="n"/>
      <c r="AA95" s="536" t="n"/>
      <c r="AB95" s="534" t="n"/>
      <c r="AC95" s="534" t="n"/>
      <c r="AD95" s="534" t="n"/>
      <c r="AE95" s="534" t="n"/>
      <c r="AF95" s="534" t="n"/>
      <c r="AG95" s="534" t="n"/>
      <c r="AH95" s="534" t="n"/>
      <c r="AI95" s="534" t="n"/>
      <c r="AJ95" s="534" t="n"/>
      <c r="AK95" s="534" t="n"/>
      <c r="AL95" s="534" t="n"/>
      <c r="AM95" s="534" t="n"/>
      <c r="AN95" s="534" t="n"/>
      <c r="AO95" s="534" t="n"/>
    </row>
    <row customFormat="1" customHeight="1" ht="18" r="96" s="2174" spans="1:44">
      <c r="A96" s="2175" t="n"/>
      <c r="B96" s="534" t="n"/>
      <c r="C96" s="2127" t="n"/>
      <c r="D96" s="2127" t="n"/>
      <c r="E96" s="2175" t="n"/>
      <c r="F96" s="2175" t="n"/>
      <c r="G96" s="2175" t="n"/>
      <c r="H96" s="2175" t="n"/>
      <c r="I96" s="2175" t="n"/>
      <c r="J96" s="2175" t="n"/>
      <c r="K96" s="2175" t="n"/>
      <c r="L96" s="2175" t="n"/>
      <c r="M96" s="2175" t="n"/>
      <c r="N96" s="2175" t="n"/>
      <c r="O96" s="534" t="n"/>
      <c r="P96" s="536" t="n"/>
      <c r="Q96" s="536" t="n"/>
      <c r="R96" s="536" t="n"/>
      <c r="S96" s="536" t="n"/>
      <c r="T96" s="536" t="n"/>
      <c r="U96" s="536" t="n"/>
      <c r="V96" s="536" t="n"/>
      <c r="W96" s="536" t="n"/>
      <c r="X96" s="536" t="n"/>
      <c r="Y96" s="536" t="n"/>
      <c r="Z96" s="536" t="n"/>
      <c r="AA96" s="536" t="n"/>
      <c r="AB96" s="534" t="n"/>
      <c r="AC96" s="534" t="n"/>
      <c r="AD96" s="534" t="n"/>
      <c r="AE96" s="534" t="n"/>
      <c r="AF96" s="534" t="n"/>
      <c r="AG96" s="534" t="n"/>
      <c r="AH96" s="534" t="n"/>
      <c r="AI96" s="534" t="n"/>
      <c r="AJ96" s="534" t="n"/>
      <c r="AK96" s="534" t="n"/>
      <c r="AL96" s="534" t="n"/>
      <c r="AM96" s="534" t="n"/>
      <c r="AN96" s="534" t="n"/>
      <c r="AO96" s="534" t="n"/>
    </row>
    <row customFormat="1" customHeight="1" ht="18" r="97" s="2174" spans="1:44">
      <c r="A97" s="2175" t="n"/>
      <c r="B97" s="534" t="n"/>
      <c r="C97" s="2127" t="n"/>
      <c r="D97" s="2127" t="n"/>
      <c r="E97" s="2175" t="n"/>
      <c r="F97" s="2175" t="n"/>
      <c r="G97" s="2175" t="n"/>
      <c r="H97" s="2175" t="n"/>
      <c r="I97" s="2175" t="n"/>
      <c r="J97" s="2175" t="n"/>
      <c r="K97" s="2175" t="n"/>
      <c r="L97" s="2175" t="n"/>
      <c r="M97" s="2175" t="n"/>
      <c r="N97" s="2175" t="n"/>
      <c r="O97" s="534" t="n"/>
      <c r="P97" s="536" t="n"/>
      <c r="Q97" s="536" t="n"/>
      <c r="R97" s="536" t="n"/>
      <c r="S97" s="536" t="n"/>
      <c r="T97" s="536" t="n"/>
      <c r="U97" s="536" t="n"/>
      <c r="V97" s="536" t="n"/>
      <c r="W97" s="536" t="n"/>
      <c r="X97" s="536" t="n"/>
      <c r="Y97" s="536" t="n"/>
      <c r="Z97" s="536" t="n"/>
      <c r="AA97" s="536" t="n"/>
      <c r="AB97" s="534" t="n"/>
      <c r="AC97" s="534" t="n"/>
      <c r="AD97" s="534" t="n"/>
      <c r="AE97" s="534" t="n"/>
      <c r="AF97" s="534" t="n"/>
      <c r="AG97" s="534" t="n"/>
      <c r="AH97" s="534" t="n"/>
      <c r="AI97" s="534" t="n"/>
      <c r="AJ97" s="534" t="n"/>
      <c r="AK97" s="534" t="n"/>
      <c r="AL97" s="534" t="n"/>
      <c r="AM97" s="534" t="n"/>
      <c r="AN97" s="534" t="n"/>
      <c r="AO97" s="534" t="n"/>
    </row>
    <row customFormat="1" customHeight="1" ht="18" r="98" s="2174" spans="1:44">
      <c r="A98" s="2175" t="n"/>
      <c r="B98" s="534" t="n"/>
      <c r="C98" s="2127" t="n"/>
      <c r="D98" s="2127" t="n"/>
      <c r="E98" s="2175" t="n"/>
      <c r="F98" s="2175" t="n"/>
      <c r="G98" s="2175" t="n"/>
      <c r="H98" s="2175" t="n"/>
      <c r="I98" s="2175" t="n"/>
      <c r="J98" s="2175" t="n"/>
      <c r="K98" s="2175" t="n"/>
      <c r="L98" s="2175" t="n"/>
      <c r="M98" s="2175" t="n"/>
      <c r="N98" s="2175" t="n"/>
      <c r="O98" s="534" t="n"/>
      <c r="P98" s="536" t="n"/>
      <c r="Q98" s="536" t="n"/>
      <c r="R98" s="536" t="n"/>
      <c r="S98" s="536" t="n"/>
      <c r="T98" s="536" t="n"/>
      <c r="U98" s="536" t="n"/>
      <c r="V98" s="536" t="n"/>
      <c r="W98" s="536" t="n"/>
      <c r="X98" s="536" t="n"/>
      <c r="Y98" s="536" t="n"/>
      <c r="Z98" s="536" t="n"/>
      <c r="AA98" s="536" t="n"/>
      <c r="AB98" s="534" t="n"/>
      <c r="AC98" s="534" t="n"/>
      <c r="AD98" s="534" t="n"/>
      <c r="AE98" s="534" t="n"/>
      <c r="AF98" s="534" t="n"/>
      <c r="AG98" s="534" t="n"/>
      <c r="AH98" s="534" t="n"/>
      <c r="AI98" s="534" t="n"/>
      <c r="AJ98" s="534" t="n"/>
      <c r="AK98" s="534" t="n"/>
      <c r="AL98" s="534" t="n"/>
      <c r="AM98" s="534" t="n"/>
      <c r="AN98" s="534" t="n"/>
      <c r="AO98" s="534" t="n"/>
    </row>
    <row customFormat="1" customHeight="1" ht="18" r="99" s="2174" spans="1:44">
      <c r="A99" s="2175" t="n"/>
      <c r="B99" s="534" t="n"/>
      <c r="C99" s="2127" t="n"/>
      <c r="D99" s="2127" t="n"/>
      <c r="E99" s="2175" t="n"/>
      <c r="F99" s="2175" t="n"/>
      <c r="G99" s="2175" t="n"/>
      <c r="H99" s="2175" t="n"/>
      <c r="I99" s="2175" t="n"/>
      <c r="J99" s="2175" t="n"/>
      <c r="K99" s="2175" t="n"/>
      <c r="L99" s="2175" t="n"/>
      <c r="M99" s="2175" t="n"/>
      <c r="N99" s="2175" t="n"/>
      <c r="O99" s="534" t="n"/>
      <c r="P99" s="536" t="n"/>
      <c r="Q99" s="536" t="n"/>
      <c r="R99" s="536" t="n"/>
      <c r="S99" s="536" t="n"/>
      <c r="T99" s="536" t="n"/>
      <c r="U99" s="536" t="n"/>
      <c r="V99" s="536" t="n"/>
      <c r="W99" s="536" t="n"/>
      <c r="X99" s="536" t="n"/>
      <c r="Y99" s="536" t="n"/>
      <c r="Z99" s="536" t="n"/>
      <c r="AA99" s="536" t="n"/>
      <c r="AB99" s="534" t="n"/>
      <c r="AC99" s="534" t="n"/>
      <c r="AD99" s="534" t="n"/>
      <c r="AE99" s="534" t="n"/>
      <c r="AF99" s="534" t="n"/>
      <c r="AG99" s="534" t="n"/>
      <c r="AH99" s="534" t="n"/>
      <c r="AI99" s="534" t="n"/>
      <c r="AJ99" s="534" t="n"/>
      <c r="AK99" s="534" t="n"/>
      <c r="AL99" s="534" t="n"/>
      <c r="AM99" s="534" t="n"/>
      <c r="AN99" s="534" t="n"/>
      <c r="AO99" s="534" t="n"/>
    </row>
    <row customFormat="1" customHeight="1" ht="18" r="100" s="2174" spans="1:44">
      <c r="A100" s="2175" t="n"/>
      <c r="B100" s="534" t="n"/>
      <c r="C100" s="2127" t="n"/>
      <c r="D100" s="2127" t="n"/>
      <c r="E100" s="2175" t="n"/>
      <c r="F100" s="2175" t="n"/>
      <c r="G100" s="2175" t="n"/>
      <c r="H100" s="2175" t="n"/>
      <c r="I100" s="2175" t="n"/>
      <c r="J100" s="2175" t="n"/>
      <c r="K100" s="2175" t="n"/>
      <c r="L100" s="2175" t="n"/>
      <c r="M100" s="2175" t="n"/>
      <c r="N100" s="2175" t="n"/>
      <c r="O100" s="534" t="n"/>
      <c r="P100" s="536" t="n"/>
      <c r="Q100" s="536" t="n"/>
      <c r="R100" s="536" t="n"/>
      <c r="S100" s="536" t="n"/>
      <c r="T100" s="536" t="n"/>
      <c r="U100" s="536" t="n"/>
      <c r="V100" s="536" t="n"/>
      <c r="W100" s="536" t="n"/>
      <c r="X100" s="536" t="n"/>
      <c r="Y100" s="536" t="n"/>
      <c r="Z100" s="536" t="n"/>
      <c r="AA100" s="536" t="n"/>
      <c r="AB100" s="534" t="n"/>
      <c r="AC100" s="534" t="n"/>
      <c r="AD100" s="534" t="n"/>
      <c r="AE100" s="534" t="n"/>
      <c r="AF100" s="534" t="n"/>
      <c r="AG100" s="534" t="n"/>
      <c r="AH100" s="534" t="n"/>
      <c r="AI100" s="534" t="n"/>
      <c r="AJ100" s="534" t="n"/>
      <c r="AK100" s="534" t="n"/>
      <c r="AL100" s="534" t="n"/>
      <c r="AM100" s="534" t="n"/>
      <c r="AN100" s="534" t="n"/>
      <c r="AO100" s="534" t="n"/>
    </row>
    <row customFormat="1" customHeight="1" ht="18" r="101" s="2174" spans="1:44">
      <c r="A101" s="2175" t="n"/>
      <c r="B101" s="534" t="n"/>
      <c r="C101" s="2127" t="n"/>
      <c r="D101" s="2127" t="n"/>
      <c r="E101" s="2175" t="n"/>
      <c r="F101" s="2175" t="n"/>
      <c r="G101" s="2175" t="n"/>
      <c r="H101" s="2175" t="n"/>
      <c r="I101" s="2175" t="n"/>
      <c r="J101" s="2175" t="n"/>
      <c r="K101" s="2175" t="n"/>
      <c r="L101" s="2175" t="n"/>
      <c r="M101" s="2175" t="n"/>
      <c r="N101" s="2175" t="n"/>
      <c r="O101" s="534" t="n"/>
      <c r="P101" s="536" t="n"/>
      <c r="Q101" s="536" t="n"/>
      <c r="R101" s="536" t="n"/>
      <c r="S101" s="536" t="n"/>
      <c r="T101" s="536" t="n"/>
      <c r="U101" s="536" t="n"/>
      <c r="V101" s="536" t="n"/>
      <c r="W101" s="536" t="n"/>
      <c r="X101" s="536" t="n"/>
      <c r="Y101" s="536" t="n"/>
      <c r="Z101" s="536" t="n"/>
      <c r="AA101" s="536" t="n"/>
      <c r="AB101" s="534" t="n"/>
      <c r="AC101" s="534" t="n"/>
      <c r="AD101" s="534" t="n"/>
      <c r="AE101" s="534" t="n"/>
      <c r="AF101" s="534" t="n"/>
      <c r="AG101" s="534" t="n"/>
      <c r="AH101" s="534" t="n"/>
      <c r="AI101" s="534" t="n"/>
      <c r="AJ101" s="534" t="n"/>
      <c r="AK101" s="534" t="n"/>
      <c r="AL101" s="534" t="n"/>
      <c r="AM101" s="534" t="n"/>
      <c r="AN101" s="534" t="n"/>
      <c r="AO101" s="534" t="n"/>
    </row>
    <row customFormat="1" customHeight="1" ht="18" r="102" s="2174" spans="1:44">
      <c r="A102" s="2175" t="n"/>
      <c r="B102" s="534" t="n"/>
      <c r="C102" s="2127" t="n"/>
      <c r="D102" s="2127" t="n"/>
      <c r="E102" s="2175" t="n"/>
      <c r="F102" s="2175" t="n"/>
      <c r="G102" s="2175" t="n"/>
      <c r="H102" s="2175" t="n"/>
      <c r="I102" s="2175" t="n"/>
      <c r="J102" s="2175" t="n"/>
      <c r="K102" s="2175" t="n"/>
      <c r="L102" s="2175" t="n"/>
      <c r="M102" s="2175" t="n"/>
      <c r="N102" s="2175" t="n"/>
      <c r="O102" s="534" t="n"/>
      <c r="P102" s="536" t="n"/>
      <c r="Q102" s="536" t="n"/>
      <c r="R102" s="536" t="n"/>
      <c r="S102" s="536" t="n"/>
      <c r="T102" s="536" t="n"/>
      <c r="U102" s="536" t="n"/>
      <c r="V102" s="536" t="n"/>
      <c r="W102" s="536" t="n"/>
      <c r="X102" s="536" t="n"/>
      <c r="Y102" s="536" t="n"/>
      <c r="Z102" s="536" t="n"/>
      <c r="AA102" s="536" t="n"/>
      <c r="AB102" s="534" t="n"/>
      <c r="AC102" s="534" t="n"/>
      <c r="AD102" s="534" t="n"/>
      <c r="AE102" s="534" t="n"/>
      <c r="AF102" s="534" t="n"/>
      <c r="AG102" s="534" t="n"/>
      <c r="AH102" s="534" t="n"/>
      <c r="AI102" s="534" t="n"/>
      <c r="AJ102" s="534" t="n"/>
      <c r="AK102" s="534" t="n"/>
      <c r="AL102" s="534" t="n"/>
      <c r="AM102" s="534" t="n"/>
      <c r="AN102" s="534" t="n"/>
      <c r="AO102" s="534" t="n"/>
    </row>
    <row customFormat="1" customHeight="1" ht="18" r="103" s="2174" spans="1:44">
      <c r="A103" s="2175" t="n"/>
      <c r="B103" s="534" t="n"/>
      <c r="C103" s="2127" t="n"/>
      <c r="D103" s="2127" t="n"/>
      <c r="E103" s="2175" t="n"/>
      <c r="F103" s="2175" t="n"/>
      <c r="G103" s="2175" t="n"/>
      <c r="H103" s="2175" t="n"/>
      <c r="I103" s="2175" t="n"/>
      <c r="J103" s="2175" t="n"/>
      <c r="K103" s="2175" t="n"/>
      <c r="L103" s="2175" t="n"/>
      <c r="M103" s="2175" t="n"/>
      <c r="N103" s="2175" t="n"/>
      <c r="O103" s="534" t="n"/>
      <c r="P103" s="536" t="n"/>
      <c r="Q103" s="536" t="n"/>
      <c r="R103" s="536" t="n"/>
      <c r="S103" s="536" t="n"/>
      <c r="T103" s="536" t="n"/>
      <c r="U103" s="536" t="n"/>
      <c r="V103" s="536" t="n"/>
      <c r="W103" s="536" t="n"/>
      <c r="X103" s="536" t="n"/>
      <c r="Y103" s="536" t="n"/>
      <c r="Z103" s="536" t="n"/>
      <c r="AA103" s="536" t="n"/>
      <c r="AB103" s="534" t="n"/>
      <c r="AC103" s="534" t="n"/>
      <c r="AD103" s="534" t="n"/>
      <c r="AE103" s="534" t="n"/>
      <c r="AF103" s="534" t="n"/>
      <c r="AG103" s="534" t="n"/>
      <c r="AH103" s="534" t="n"/>
      <c r="AI103" s="534" t="n"/>
      <c r="AJ103" s="534" t="n"/>
      <c r="AK103" s="534" t="n"/>
      <c r="AL103" s="534" t="n"/>
      <c r="AM103" s="534" t="n"/>
      <c r="AN103" s="534" t="n"/>
      <c r="AO103" s="534" t="n"/>
    </row>
    <row customFormat="1" customHeight="1" ht="18" r="104" s="2174" spans="1:44">
      <c r="A104" s="2175" t="n"/>
      <c r="B104" s="534" t="n"/>
      <c r="C104" s="2127" t="n"/>
      <c r="D104" s="2127" t="n"/>
      <c r="E104" s="2175" t="n"/>
      <c r="F104" s="2175" t="n"/>
      <c r="G104" s="2175" t="n"/>
      <c r="H104" s="2175" t="n"/>
      <c r="I104" s="2175" t="n"/>
      <c r="J104" s="2175" t="n"/>
      <c r="K104" s="2175" t="n"/>
      <c r="L104" s="2175" t="n"/>
      <c r="M104" s="2175" t="n"/>
      <c r="N104" s="2175" t="n"/>
      <c r="O104" s="534" t="n"/>
      <c r="P104" s="536" t="n"/>
      <c r="Q104" s="536" t="n"/>
      <c r="R104" s="536" t="n"/>
      <c r="S104" s="536" t="n"/>
      <c r="T104" s="536" t="n"/>
      <c r="U104" s="536" t="n"/>
      <c r="V104" s="536" t="n"/>
      <c r="W104" s="536" t="n"/>
      <c r="X104" s="536" t="n"/>
      <c r="Y104" s="536" t="n"/>
      <c r="Z104" s="536" t="n"/>
      <c r="AA104" s="536" t="n"/>
      <c r="AB104" s="534" t="n"/>
      <c r="AC104" s="534" t="n"/>
      <c r="AD104" s="534" t="n"/>
      <c r="AE104" s="534" t="n"/>
      <c r="AF104" s="534" t="n"/>
      <c r="AG104" s="534" t="n"/>
      <c r="AH104" s="534" t="n"/>
      <c r="AI104" s="534" t="n"/>
      <c r="AJ104" s="534" t="n"/>
      <c r="AK104" s="534" t="n"/>
      <c r="AL104" s="534" t="n"/>
      <c r="AM104" s="534" t="n"/>
      <c r="AN104" s="534" t="n"/>
      <c r="AO104" s="534" t="n"/>
    </row>
    <row customFormat="1" customHeight="1" ht="18" r="105" s="2174" spans="1:44">
      <c r="A105" s="2175" t="n"/>
      <c r="B105" s="534" t="n"/>
      <c r="C105" s="2127" t="n"/>
      <c r="D105" s="2127" t="n"/>
      <c r="E105" s="2175" t="n"/>
      <c r="F105" s="2175" t="n"/>
      <c r="G105" s="2175" t="n"/>
      <c r="H105" s="2175" t="n"/>
      <c r="I105" s="2175" t="n"/>
      <c r="J105" s="2175" t="n"/>
      <c r="K105" s="2175" t="n"/>
      <c r="L105" s="2175" t="n"/>
      <c r="M105" s="2175" t="n"/>
      <c r="N105" s="2175" t="n"/>
      <c r="O105" s="534" t="n"/>
      <c r="P105" s="536" t="n"/>
      <c r="Q105" s="536" t="n"/>
      <c r="R105" s="536" t="n"/>
      <c r="S105" s="536" t="n"/>
      <c r="T105" s="536" t="n"/>
      <c r="U105" s="536" t="n"/>
      <c r="V105" s="536" t="n"/>
      <c r="W105" s="536" t="n"/>
      <c r="X105" s="536" t="n"/>
      <c r="Y105" s="536" t="n"/>
      <c r="Z105" s="536" t="n"/>
      <c r="AA105" s="536" t="n"/>
      <c r="AB105" s="534" t="n"/>
      <c r="AC105" s="534" t="n"/>
      <c r="AD105" s="534" t="n"/>
      <c r="AE105" s="534" t="n"/>
      <c r="AF105" s="534" t="n"/>
      <c r="AG105" s="534" t="n"/>
      <c r="AH105" s="534" t="n"/>
      <c r="AI105" s="534" t="n"/>
      <c r="AJ105" s="534" t="n"/>
      <c r="AK105" s="534" t="n"/>
      <c r="AL105" s="534" t="n"/>
      <c r="AM105" s="534" t="n"/>
      <c r="AN105" s="534" t="n"/>
      <c r="AO105" s="534" t="n"/>
    </row>
    <row customFormat="1" customHeight="1" ht="18" r="106" s="2174" spans="1:44">
      <c r="A106" s="2175" t="n"/>
      <c r="B106" s="534" t="n"/>
      <c r="C106" s="2127" t="n"/>
      <c r="D106" s="2127" t="n"/>
      <c r="E106" s="2175" t="n"/>
      <c r="F106" s="2175" t="n"/>
      <c r="G106" s="2175" t="n"/>
      <c r="H106" s="2175" t="n"/>
      <c r="I106" s="2175" t="n"/>
      <c r="J106" s="2175" t="n"/>
      <c r="K106" s="2175" t="n"/>
      <c r="L106" s="2175" t="n"/>
      <c r="M106" s="2175" t="n"/>
      <c r="N106" s="2175" t="n"/>
      <c r="O106" s="534" t="n"/>
      <c r="P106" s="536" t="n"/>
      <c r="Q106" s="536" t="n"/>
      <c r="R106" s="536" t="n"/>
      <c r="S106" s="536" t="n"/>
      <c r="T106" s="536" t="n"/>
      <c r="U106" s="536" t="n"/>
      <c r="V106" s="536" t="n"/>
      <c r="W106" s="536" t="n"/>
      <c r="X106" s="536" t="n"/>
      <c r="Y106" s="536" t="n"/>
      <c r="Z106" s="536" t="n"/>
      <c r="AA106" s="536" t="n"/>
      <c r="AB106" s="534" t="n"/>
      <c r="AC106" s="534" t="n"/>
      <c r="AD106" s="534" t="n"/>
      <c r="AE106" s="534" t="n"/>
      <c r="AF106" s="534" t="n"/>
      <c r="AG106" s="534" t="n"/>
      <c r="AH106" s="534" t="n"/>
      <c r="AI106" s="534" t="n"/>
      <c r="AJ106" s="534" t="n"/>
      <c r="AK106" s="534" t="n"/>
      <c r="AL106" s="534" t="n"/>
      <c r="AM106" s="534" t="n"/>
      <c r="AN106" s="534" t="n"/>
      <c r="AO106" s="534" t="n"/>
    </row>
    <row customFormat="1" customHeight="1" ht="18" r="107" s="2174" spans="1:44">
      <c r="A107" s="2175" t="n"/>
      <c r="B107" s="534" t="n"/>
      <c r="C107" s="2127" t="n"/>
      <c r="D107" s="2127" t="n"/>
      <c r="E107" s="2175" t="n"/>
      <c r="F107" s="2175" t="n"/>
      <c r="G107" s="2175" t="n"/>
      <c r="H107" s="2175" t="n"/>
      <c r="I107" s="2175" t="n"/>
      <c r="J107" s="2175" t="n"/>
      <c r="K107" s="2175" t="n"/>
      <c r="L107" s="2175" t="n"/>
      <c r="M107" s="2175" t="n"/>
      <c r="N107" s="2175" t="n"/>
      <c r="O107" s="534" t="n"/>
      <c r="P107" s="536" t="n"/>
      <c r="Q107" s="536" t="n"/>
      <c r="R107" s="536" t="n"/>
      <c r="S107" s="536" t="n"/>
      <c r="T107" s="536" t="n"/>
      <c r="U107" s="536" t="n"/>
      <c r="V107" s="536" t="n"/>
      <c r="W107" s="536" t="n"/>
      <c r="X107" s="536" t="n"/>
      <c r="Y107" s="536" t="n"/>
      <c r="Z107" s="536" t="n"/>
      <c r="AA107" s="536" t="n"/>
      <c r="AB107" s="534" t="n"/>
      <c r="AC107" s="534" t="n"/>
      <c r="AD107" s="534" t="n"/>
      <c r="AE107" s="534" t="n"/>
      <c r="AF107" s="534" t="n"/>
      <c r="AG107" s="534" t="n"/>
      <c r="AH107" s="534" t="n"/>
      <c r="AI107" s="534" t="n"/>
      <c r="AJ107" s="534" t="n"/>
      <c r="AK107" s="534" t="n"/>
      <c r="AL107" s="534" t="n"/>
      <c r="AM107" s="534" t="n"/>
      <c r="AN107" s="534" t="n"/>
      <c r="AO107" s="534" t="n"/>
    </row>
    <row customFormat="1" customHeight="1" ht="18" r="108" s="2174" spans="1:44">
      <c r="A108" s="2175" t="n"/>
      <c r="B108" s="534" t="n"/>
      <c r="C108" s="2127" t="n"/>
      <c r="D108" s="2127" t="n"/>
      <c r="E108" s="2175" t="n"/>
      <c r="F108" s="2175" t="n"/>
      <c r="G108" s="2175" t="n"/>
      <c r="H108" s="2175" t="n"/>
      <c r="I108" s="2175" t="n"/>
      <c r="J108" s="2175" t="n"/>
      <c r="K108" s="2175" t="n"/>
      <c r="L108" s="2175" t="n"/>
      <c r="M108" s="2175" t="n"/>
      <c r="N108" s="2175" t="n"/>
      <c r="O108" s="534" t="n"/>
      <c r="P108" s="536" t="n"/>
      <c r="Q108" s="536" t="n"/>
      <c r="R108" s="536" t="n"/>
      <c r="S108" s="536" t="n"/>
      <c r="T108" s="536" t="n"/>
      <c r="U108" s="536" t="n"/>
      <c r="V108" s="536" t="n"/>
      <c r="W108" s="536" t="n"/>
      <c r="X108" s="536" t="n"/>
      <c r="Y108" s="536" t="n"/>
      <c r="Z108" s="536" t="n"/>
      <c r="AA108" s="536" t="n"/>
      <c r="AB108" s="534" t="n"/>
      <c r="AC108" s="534" t="n"/>
      <c r="AD108" s="534" t="n"/>
      <c r="AE108" s="534" t="n"/>
      <c r="AF108" s="534" t="n"/>
      <c r="AG108" s="534" t="n"/>
      <c r="AH108" s="534" t="n"/>
      <c r="AI108" s="534" t="n"/>
      <c r="AJ108" s="534" t="n"/>
      <c r="AK108" s="534" t="n"/>
      <c r="AL108" s="534" t="n"/>
      <c r="AM108" s="534" t="n"/>
      <c r="AN108" s="534" t="n"/>
      <c r="AO108" s="534" t="n"/>
    </row>
    <row customFormat="1" customHeight="1" ht="18" r="109" s="2174" spans="1:44">
      <c r="A109" s="2175" t="n"/>
      <c r="B109" s="534" t="n"/>
      <c r="C109" s="2127" t="n"/>
      <c r="D109" s="2127" t="n"/>
      <c r="E109" s="2175" t="n"/>
      <c r="F109" s="2175" t="n"/>
      <c r="G109" s="2175" t="n"/>
      <c r="H109" s="2175" t="n"/>
      <c r="I109" s="2175" t="n"/>
      <c r="J109" s="2175" t="n"/>
      <c r="K109" s="2175" t="n"/>
      <c r="L109" s="2175" t="n"/>
      <c r="M109" s="2175" t="n"/>
      <c r="N109" s="2175" t="n"/>
      <c r="O109" s="534" t="n"/>
      <c r="P109" s="536" t="n"/>
      <c r="Q109" s="536" t="n"/>
      <c r="R109" s="536" t="n"/>
      <c r="S109" s="536" t="n"/>
      <c r="T109" s="536" t="n"/>
      <c r="U109" s="536" t="n"/>
      <c r="V109" s="536" t="n"/>
      <c r="W109" s="536" t="n"/>
      <c r="X109" s="536" t="n"/>
      <c r="Y109" s="536" t="n"/>
      <c r="Z109" s="536" t="n"/>
      <c r="AA109" s="536" t="n"/>
      <c r="AB109" s="534" t="n"/>
      <c r="AC109" s="534" t="n"/>
      <c r="AD109" s="534" t="n"/>
      <c r="AE109" s="534" t="n"/>
      <c r="AF109" s="534" t="n"/>
      <c r="AG109" s="534" t="n"/>
      <c r="AH109" s="534" t="n"/>
      <c r="AI109" s="534" t="n"/>
      <c r="AJ109" s="534" t="n"/>
      <c r="AK109" s="534" t="n"/>
      <c r="AL109" s="534" t="n"/>
      <c r="AM109" s="534" t="n"/>
      <c r="AN109" s="534" t="n"/>
      <c r="AO109" s="534" t="n"/>
    </row>
    <row customFormat="1" customHeight="1" ht="18" r="110" s="2174" spans="1:44">
      <c r="A110" s="2175" t="n"/>
      <c r="B110" s="534" t="n"/>
      <c r="C110" s="2127" t="n"/>
      <c r="D110" s="2127" t="n"/>
      <c r="E110" s="2175" t="n"/>
      <c r="F110" s="2175" t="n"/>
      <c r="G110" s="2175" t="n"/>
      <c r="H110" s="2175" t="n"/>
      <c r="I110" s="2175" t="n"/>
      <c r="J110" s="2175" t="n"/>
      <c r="K110" s="2175" t="n"/>
      <c r="L110" s="2175" t="n"/>
      <c r="M110" s="2175" t="n"/>
      <c r="N110" s="2175" t="n"/>
      <c r="O110" s="534" t="n"/>
      <c r="P110" s="536" t="n"/>
      <c r="Q110" s="536" t="n"/>
      <c r="R110" s="536" t="n"/>
      <c r="S110" s="536" t="n"/>
      <c r="T110" s="536" t="n"/>
      <c r="U110" s="536" t="n"/>
      <c r="V110" s="536" t="n"/>
      <c r="W110" s="536" t="n"/>
      <c r="X110" s="536" t="n"/>
      <c r="Y110" s="536" t="n"/>
      <c r="Z110" s="536" t="n"/>
      <c r="AA110" s="536" t="n"/>
      <c r="AB110" s="534" t="n"/>
      <c r="AC110" s="534" t="n"/>
      <c r="AD110" s="534" t="n"/>
      <c r="AE110" s="534" t="n"/>
      <c r="AF110" s="534" t="n"/>
      <c r="AG110" s="534" t="n"/>
      <c r="AH110" s="534" t="n"/>
      <c r="AI110" s="534" t="n"/>
      <c r="AJ110" s="534" t="n"/>
      <c r="AK110" s="534" t="n"/>
      <c r="AL110" s="534" t="n"/>
      <c r="AM110" s="534" t="n"/>
      <c r="AN110" s="534" t="n"/>
      <c r="AO110" s="534" t="n"/>
    </row>
    <row customFormat="1" customHeight="1" ht="18" r="111" s="2174" spans="1:44">
      <c r="A111" s="2175" t="n"/>
      <c r="B111" s="534" t="n"/>
      <c r="C111" s="2127" t="n"/>
      <c r="D111" s="2127" t="n"/>
      <c r="E111" s="2175" t="n"/>
      <c r="F111" s="2175" t="n"/>
      <c r="G111" s="2175" t="n"/>
      <c r="H111" s="2175" t="n"/>
      <c r="I111" s="2175" t="n"/>
      <c r="J111" s="2175" t="n"/>
      <c r="K111" s="2175" t="n"/>
      <c r="L111" s="2175" t="n"/>
      <c r="M111" s="2175" t="n"/>
      <c r="N111" s="2175" t="n"/>
      <c r="O111" s="534" t="n"/>
      <c r="P111" s="536" t="n"/>
      <c r="Q111" s="536" t="n"/>
      <c r="R111" s="536" t="n"/>
      <c r="S111" s="536" t="n"/>
      <c r="T111" s="536" t="n"/>
      <c r="U111" s="536" t="n"/>
      <c r="V111" s="536" t="n"/>
      <c r="W111" s="536" t="n"/>
      <c r="X111" s="536" t="n"/>
      <c r="Y111" s="536" t="n"/>
      <c r="Z111" s="536" t="n"/>
      <c r="AA111" s="536" t="n"/>
      <c r="AB111" s="534" t="n"/>
      <c r="AC111" s="534" t="n"/>
      <c r="AD111" s="534" t="n"/>
      <c r="AE111" s="534" t="n"/>
      <c r="AF111" s="534" t="n"/>
      <c r="AG111" s="534" t="n"/>
      <c r="AH111" s="534" t="n"/>
      <c r="AI111" s="534" t="n"/>
      <c r="AJ111" s="534" t="n"/>
      <c r="AK111" s="534" t="n"/>
      <c r="AL111" s="534" t="n"/>
      <c r="AM111" s="534" t="n"/>
      <c r="AN111" s="534" t="n"/>
      <c r="AO111" s="534" t="n"/>
    </row>
    <row customFormat="1" customHeight="1" ht="18" r="112" s="2174" spans="1:44">
      <c r="A112" s="2175" t="n"/>
      <c r="B112" s="534" t="n"/>
      <c r="C112" s="2127" t="n"/>
      <c r="D112" s="2127" t="n"/>
      <c r="E112" s="2175" t="n"/>
      <c r="F112" s="2175" t="n"/>
      <c r="G112" s="2175" t="n"/>
      <c r="H112" s="2175" t="n"/>
      <c r="I112" s="2175" t="n"/>
      <c r="J112" s="2175" t="n"/>
      <c r="K112" s="2175" t="n"/>
      <c r="L112" s="2175" t="n"/>
      <c r="M112" s="2175" t="n"/>
      <c r="N112" s="2175" t="n"/>
      <c r="O112" s="534" t="n"/>
      <c r="P112" s="536" t="n"/>
      <c r="Q112" s="536" t="n"/>
      <c r="R112" s="536" t="n"/>
      <c r="S112" s="536" t="n"/>
      <c r="T112" s="536" t="n"/>
      <c r="U112" s="536" t="n"/>
      <c r="V112" s="536" t="n"/>
      <c r="W112" s="536" t="n"/>
      <c r="X112" s="536" t="n"/>
      <c r="Y112" s="536" t="n"/>
      <c r="Z112" s="536" t="n"/>
      <c r="AA112" s="536" t="n"/>
      <c r="AB112" s="534" t="n"/>
      <c r="AC112" s="534" t="n"/>
      <c r="AD112" s="534" t="n"/>
      <c r="AE112" s="534" t="n"/>
      <c r="AF112" s="534" t="n"/>
      <c r="AG112" s="534" t="n"/>
      <c r="AH112" s="534" t="n"/>
      <c r="AI112" s="534" t="n"/>
      <c r="AJ112" s="534" t="n"/>
      <c r="AK112" s="534" t="n"/>
      <c r="AL112" s="534" t="n"/>
      <c r="AM112" s="534" t="n"/>
      <c r="AN112" s="534" t="n"/>
      <c r="AO112" s="534" t="n"/>
    </row>
    <row customFormat="1" customHeight="1" ht="18" r="113" s="2174" spans="1:44">
      <c r="A113" s="2175" t="n"/>
      <c r="B113" s="534" t="n"/>
      <c r="C113" s="2127" t="n"/>
      <c r="D113" s="2127" t="n"/>
      <c r="E113" s="2175" t="n"/>
      <c r="F113" s="2175" t="n"/>
      <c r="G113" s="2175" t="n"/>
      <c r="H113" s="2175" t="n"/>
      <c r="I113" s="2175" t="n"/>
      <c r="J113" s="2175" t="n"/>
      <c r="K113" s="2175" t="n"/>
      <c r="L113" s="2175" t="n"/>
      <c r="M113" s="2175" t="n"/>
      <c r="N113" s="2175" t="n"/>
      <c r="O113" s="534" t="n"/>
      <c r="P113" s="536" t="n"/>
      <c r="Q113" s="536" t="n"/>
      <c r="R113" s="536" t="n"/>
      <c r="S113" s="536" t="n"/>
      <c r="T113" s="536" t="n"/>
      <c r="U113" s="536" t="n"/>
      <c r="V113" s="536" t="n"/>
      <c r="W113" s="536" t="n"/>
      <c r="X113" s="536" t="n"/>
      <c r="Y113" s="536" t="n"/>
      <c r="Z113" s="536" t="n"/>
      <c r="AA113" s="536" t="n"/>
      <c r="AB113" s="534" t="n"/>
      <c r="AC113" s="534" t="n"/>
      <c r="AD113" s="534" t="n"/>
      <c r="AE113" s="534" t="n"/>
      <c r="AF113" s="534" t="n"/>
      <c r="AG113" s="534" t="n"/>
      <c r="AH113" s="534" t="n"/>
      <c r="AI113" s="534" t="n"/>
      <c r="AJ113" s="534" t="n"/>
      <c r="AK113" s="534" t="n"/>
      <c r="AL113" s="534" t="n"/>
      <c r="AM113" s="534" t="n"/>
      <c r="AN113" s="534" t="n"/>
      <c r="AO113" s="534" t="n"/>
    </row>
    <row customFormat="1" customHeight="1" ht="18" r="114" s="2174" spans="1:44">
      <c r="A114" s="2175" t="n"/>
      <c r="B114" s="534" t="n"/>
      <c r="C114" s="2127" t="n"/>
      <c r="D114" s="2127" t="n"/>
      <c r="E114" s="2175" t="n"/>
      <c r="F114" s="2175" t="n"/>
      <c r="G114" s="2175" t="n"/>
      <c r="H114" s="2175" t="n"/>
      <c r="I114" s="2175" t="n"/>
      <c r="J114" s="2175" t="n"/>
      <c r="K114" s="2175" t="n"/>
      <c r="L114" s="2175" t="n"/>
      <c r="M114" s="2175" t="n"/>
      <c r="N114" s="2175" t="n"/>
      <c r="O114" s="534" t="n"/>
      <c r="P114" s="536" t="n"/>
      <c r="Q114" s="536" t="n"/>
      <c r="R114" s="536" t="n"/>
      <c r="S114" s="536" t="n"/>
      <c r="T114" s="536" t="n"/>
      <c r="U114" s="536" t="n"/>
      <c r="V114" s="536" t="n"/>
      <c r="W114" s="536" t="n"/>
      <c r="X114" s="536" t="n"/>
      <c r="Y114" s="536" t="n"/>
      <c r="Z114" s="536" t="n"/>
      <c r="AA114" s="536" t="n"/>
      <c r="AB114" s="534" t="n"/>
      <c r="AC114" s="534" t="n"/>
      <c r="AD114" s="534" t="n"/>
      <c r="AE114" s="534" t="n"/>
      <c r="AF114" s="534" t="n"/>
      <c r="AG114" s="534" t="n"/>
      <c r="AH114" s="534" t="n"/>
      <c r="AI114" s="534" t="n"/>
      <c r="AJ114" s="534" t="n"/>
      <c r="AK114" s="534" t="n"/>
      <c r="AL114" s="534" t="n"/>
      <c r="AM114" s="534" t="n"/>
      <c r="AN114" s="534" t="n"/>
      <c r="AO114" s="534" t="n"/>
    </row>
    <row customFormat="1" customHeight="1" ht="18" r="115" s="2174" spans="1:44">
      <c r="A115" s="2175" t="n"/>
      <c r="B115" s="534" t="n"/>
      <c r="C115" s="2127" t="n"/>
      <c r="D115" s="2127" t="n"/>
      <c r="E115" s="2175" t="n"/>
      <c r="F115" s="2175" t="n"/>
      <c r="G115" s="2175" t="n"/>
      <c r="H115" s="2175" t="n"/>
      <c r="I115" s="2175" t="n"/>
      <c r="J115" s="2175" t="n"/>
      <c r="K115" s="2175" t="n"/>
      <c r="L115" s="2175" t="n"/>
      <c r="M115" s="2175" t="n"/>
      <c r="N115" s="2175" t="n"/>
      <c r="O115" s="534" t="n"/>
      <c r="P115" s="536" t="n"/>
      <c r="Q115" s="536" t="n"/>
      <c r="R115" s="536" t="n"/>
      <c r="S115" s="536" t="n"/>
      <c r="T115" s="536" t="n"/>
      <c r="U115" s="536" t="n"/>
      <c r="V115" s="536" t="n"/>
      <c r="W115" s="536" t="n"/>
      <c r="X115" s="536" t="n"/>
      <c r="Y115" s="536" t="n"/>
      <c r="Z115" s="536" t="n"/>
      <c r="AA115" s="536" t="n"/>
      <c r="AB115" s="534" t="n"/>
      <c r="AC115" s="534" t="n"/>
      <c r="AD115" s="534" t="n"/>
      <c r="AE115" s="534" t="n"/>
      <c r="AF115" s="534" t="n"/>
      <c r="AG115" s="534" t="n"/>
      <c r="AH115" s="534" t="n"/>
      <c r="AI115" s="534" t="n"/>
      <c r="AJ115" s="534" t="n"/>
      <c r="AK115" s="534" t="n"/>
      <c r="AL115" s="534" t="n"/>
      <c r="AM115" s="534" t="n"/>
      <c r="AN115" s="534" t="n"/>
      <c r="AO115" s="534" t="n"/>
    </row>
    <row customFormat="1" customHeight="1" ht="18" r="116" s="2174" spans="1:44">
      <c r="A116" s="2175" t="n"/>
      <c r="B116" s="534" t="n"/>
      <c r="C116" s="2127" t="n"/>
      <c r="D116" s="2127" t="n"/>
      <c r="E116" s="2175" t="n"/>
      <c r="F116" s="2175" t="n"/>
      <c r="G116" s="2175" t="n"/>
      <c r="H116" s="2175" t="n"/>
      <c r="I116" s="2175" t="n"/>
      <c r="J116" s="2175" t="n"/>
      <c r="K116" s="2175" t="n"/>
      <c r="L116" s="2175" t="n"/>
      <c r="M116" s="2175" t="n"/>
      <c r="N116" s="2175" t="n"/>
      <c r="O116" s="534" t="n"/>
      <c r="P116" s="536" t="n"/>
      <c r="Q116" s="536" t="n"/>
      <c r="R116" s="536" t="n"/>
      <c r="S116" s="536" t="n"/>
      <c r="T116" s="536" t="n"/>
      <c r="U116" s="536" t="n"/>
      <c r="V116" s="536" t="n"/>
      <c r="W116" s="536" t="n"/>
      <c r="X116" s="536" t="n"/>
      <c r="Y116" s="536" t="n"/>
      <c r="Z116" s="536" t="n"/>
      <c r="AA116" s="536" t="n"/>
      <c r="AB116" s="534" t="n"/>
      <c r="AC116" s="534" t="n"/>
      <c r="AD116" s="534" t="n"/>
      <c r="AE116" s="534" t="n"/>
      <c r="AF116" s="534" t="n"/>
      <c r="AG116" s="534" t="n"/>
      <c r="AH116" s="534" t="n"/>
      <c r="AI116" s="534" t="n"/>
      <c r="AJ116" s="534" t="n"/>
      <c r="AK116" s="534" t="n"/>
      <c r="AL116" s="534" t="n"/>
      <c r="AM116" s="534" t="n"/>
      <c r="AN116" s="534" t="n"/>
      <c r="AO116" s="534" t="n"/>
    </row>
    <row customFormat="1" customHeight="1" ht="18" r="117" s="2174" spans="1:44">
      <c r="A117" s="2175" t="n"/>
      <c r="B117" s="534" t="n"/>
      <c r="C117" s="2127" t="n"/>
      <c r="D117" s="2127" t="n"/>
      <c r="E117" s="2175" t="n"/>
      <c r="F117" s="2175" t="n"/>
      <c r="G117" s="2175" t="n"/>
      <c r="H117" s="2175" t="n"/>
      <c r="I117" s="2175" t="n"/>
      <c r="J117" s="2175" t="n"/>
      <c r="K117" s="2175" t="n"/>
      <c r="L117" s="2175" t="n"/>
      <c r="M117" s="2175" t="n"/>
      <c r="N117" s="2175" t="n"/>
      <c r="O117" s="534" t="n"/>
      <c r="P117" s="536" t="n"/>
      <c r="Q117" s="536" t="n"/>
      <c r="R117" s="536" t="n"/>
      <c r="S117" s="536" t="n"/>
      <c r="T117" s="536" t="n"/>
      <c r="U117" s="536" t="n"/>
      <c r="V117" s="536" t="n"/>
      <c r="W117" s="536" t="n"/>
      <c r="X117" s="536" t="n"/>
      <c r="Y117" s="536" t="n"/>
      <c r="Z117" s="536" t="n"/>
      <c r="AA117" s="536" t="n"/>
      <c r="AB117" s="534" t="n"/>
      <c r="AC117" s="534" t="n"/>
      <c r="AD117" s="534" t="n"/>
      <c r="AE117" s="534" t="n"/>
      <c r="AF117" s="534" t="n"/>
      <c r="AG117" s="534" t="n"/>
      <c r="AH117" s="534" t="n"/>
      <c r="AI117" s="534" t="n"/>
      <c r="AJ117" s="534" t="n"/>
      <c r="AK117" s="534" t="n"/>
      <c r="AL117" s="534" t="n"/>
      <c r="AM117" s="534" t="n"/>
      <c r="AN117" s="534" t="n"/>
      <c r="AO117" s="534" t="n"/>
    </row>
    <row customFormat="1" customHeight="1" ht="18" r="118" s="2174" spans="1:44">
      <c r="A118" s="2175" t="n"/>
      <c r="B118" s="534" t="n"/>
      <c r="C118" s="2127" t="n"/>
      <c r="D118" s="2127" t="n"/>
      <c r="E118" s="2175" t="n"/>
      <c r="F118" s="2175" t="n"/>
      <c r="G118" s="2175" t="n"/>
      <c r="H118" s="2175" t="n"/>
      <c r="I118" s="2175" t="n"/>
      <c r="J118" s="2175" t="n"/>
      <c r="K118" s="2175" t="n"/>
      <c r="L118" s="2175" t="n"/>
      <c r="M118" s="2175" t="n"/>
      <c r="N118" s="2175" t="n"/>
      <c r="O118" s="534" t="n"/>
      <c r="P118" s="536" t="n"/>
      <c r="Q118" s="536" t="n"/>
      <c r="R118" s="536" t="n"/>
      <c r="S118" s="536" t="n"/>
      <c r="T118" s="536" t="n"/>
      <c r="U118" s="536" t="n"/>
      <c r="V118" s="536" t="n"/>
      <c r="W118" s="536" t="n"/>
      <c r="X118" s="536" t="n"/>
      <c r="Y118" s="536" t="n"/>
      <c r="Z118" s="536" t="n"/>
      <c r="AA118" s="536" t="n"/>
      <c r="AB118" s="534" t="n"/>
      <c r="AC118" s="534" t="n"/>
      <c r="AD118" s="534" t="n"/>
      <c r="AE118" s="534" t="n"/>
      <c r="AF118" s="534" t="n"/>
      <c r="AG118" s="534" t="n"/>
      <c r="AH118" s="534" t="n"/>
      <c r="AI118" s="534" t="n"/>
      <c r="AJ118" s="534" t="n"/>
      <c r="AK118" s="534" t="n"/>
      <c r="AL118" s="534" t="n"/>
      <c r="AM118" s="534" t="n"/>
      <c r="AN118" s="534" t="n"/>
      <c r="AO118" s="534" t="n"/>
    </row>
    <row customFormat="1" customHeight="1" ht="18" r="119" s="2174" spans="1:44">
      <c r="A119" s="2175" t="n"/>
      <c r="B119" s="534" t="n"/>
      <c r="C119" s="2127" t="n"/>
      <c r="D119" s="2127" t="n"/>
      <c r="E119" s="2175" t="n"/>
      <c r="F119" s="2175" t="n"/>
      <c r="G119" s="2175" t="n"/>
      <c r="H119" s="2175" t="n"/>
      <c r="I119" s="2175" t="n"/>
      <c r="J119" s="2175" t="n"/>
      <c r="K119" s="2175" t="n"/>
      <c r="L119" s="2175" t="n"/>
      <c r="M119" s="2175" t="n"/>
      <c r="N119" s="2175" t="n"/>
      <c r="O119" s="534" t="n"/>
      <c r="P119" s="536" t="n"/>
      <c r="Q119" s="536" t="n"/>
      <c r="R119" s="536" t="n"/>
      <c r="S119" s="536" t="n"/>
      <c r="T119" s="536" t="n"/>
      <c r="U119" s="536" t="n"/>
      <c r="V119" s="536" t="n"/>
      <c r="W119" s="536" t="n"/>
      <c r="X119" s="536" t="n"/>
      <c r="Y119" s="536" t="n"/>
      <c r="Z119" s="536" t="n"/>
      <c r="AA119" s="536" t="n"/>
      <c r="AB119" s="534" t="n"/>
      <c r="AC119" s="534" t="n"/>
      <c r="AD119" s="534" t="n"/>
      <c r="AE119" s="534" t="n"/>
      <c r="AF119" s="534" t="n"/>
      <c r="AG119" s="534" t="n"/>
      <c r="AH119" s="534" t="n"/>
      <c r="AI119" s="534" t="n"/>
      <c r="AJ119" s="534" t="n"/>
      <c r="AK119" s="534" t="n"/>
      <c r="AL119" s="534" t="n"/>
      <c r="AM119" s="534" t="n"/>
      <c r="AN119" s="534" t="n"/>
      <c r="AO119" s="534" t="n"/>
    </row>
    <row customFormat="1" customHeight="1" ht="18" r="120" s="2238" spans="1:44" thickBot="1">
      <c r="A120" s="2248" t="n"/>
      <c r="B120" s="2152" t="n"/>
      <c r="C120" s="2345" t="n"/>
      <c r="D120" s="2345" t="n"/>
      <c r="E120" s="2345" t="n"/>
      <c r="F120" s="2345" t="n"/>
      <c r="G120" s="2345" t="n"/>
      <c r="H120" s="2345" t="n"/>
      <c r="I120" s="2345" t="n"/>
      <c r="J120" s="2345" t="n"/>
      <c r="K120" s="2345" t="n"/>
      <c r="L120" s="2345" t="n"/>
      <c r="M120" s="2345" t="n"/>
      <c r="N120" s="2345" t="n"/>
      <c r="O120" s="2152" t="n"/>
      <c r="P120" s="2152" t="n"/>
      <c r="Q120" s="2152" t="n"/>
      <c r="R120" s="2152" t="n"/>
      <c r="S120" s="2345" t="n"/>
      <c r="T120" s="2345" t="n"/>
      <c r="U120" s="2345" t="n"/>
      <c r="V120" s="2345" t="n"/>
      <c r="W120" s="2345" t="n"/>
      <c r="X120" s="2345" t="n"/>
      <c r="Y120" s="2345" t="n"/>
      <c r="Z120" s="2345" t="n"/>
      <c r="AA120" s="2345" t="n"/>
      <c r="AB120" s="2152" t="n"/>
      <c r="AC120" s="2152" t="n"/>
      <c r="AD120" s="2152" t="n"/>
      <c r="AE120" s="2345" t="n"/>
      <c r="AF120" s="2345" t="n"/>
      <c r="AG120" s="2345" t="n"/>
      <c r="AH120" s="2345" t="n"/>
      <c r="AI120" s="2345" t="n"/>
      <c r="AJ120" s="2345" t="n"/>
      <c r="AK120" s="2345" t="n"/>
      <c r="AL120" s="2345" t="n"/>
      <c r="AM120" s="2345" t="n"/>
      <c r="AN120" s="2345" t="n"/>
      <c r="AO120" s="2152" t="n"/>
    </row>
    <row customHeight="1" ht="18" r="121" s="1843" spans="1:44">
      <c r="A121" s="2346" t="n">
        <v>12276</v>
      </c>
      <c r="B121" s="2177" t="n"/>
      <c r="C121" s="2347">
        <f>$C$2</f>
        <v/>
      </c>
      <c r="E121" s="2348" t="n"/>
      <c r="F121" s="2349" t="n"/>
      <c r="G121" s="2350" t="n"/>
      <c r="H121" s="2348" t="n"/>
      <c r="I121" s="2349" t="n"/>
      <c r="J121" s="2350" t="n"/>
      <c r="K121" s="2350" t="n"/>
      <c r="L121" s="2350" t="n"/>
      <c r="M121" s="2350" t="n"/>
      <c r="N121" s="2351" t="n"/>
      <c r="O121" s="2264" t="n"/>
      <c r="P121" s="2261">
        <f>$P$2</f>
        <v/>
      </c>
      <c r="Q121" s="2262" t="n"/>
      <c r="R121" s="2352" t="n"/>
      <c r="S121" s="2349" t="n"/>
      <c r="T121" s="2350" t="n"/>
      <c r="U121" s="2348" t="n"/>
      <c r="V121" s="2349" t="n"/>
      <c r="W121" s="2350" t="n"/>
      <c r="X121" s="2350" t="n"/>
      <c r="Y121" s="2350" t="n"/>
      <c r="Z121" s="2350" t="n"/>
      <c r="AA121" s="2351" t="n"/>
      <c r="AB121" s="2264" t="n"/>
      <c r="AC121" s="2261">
        <f>$AC$2</f>
        <v/>
      </c>
      <c r="AD121" s="2262" t="n"/>
      <c r="AE121" s="2348" t="n"/>
      <c r="AF121" s="2349" t="n"/>
      <c r="AG121" s="2350" t="n"/>
      <c r="AH121" s="2348" t="n"/>
      <c r="AI121" s="2349" t="n"/>
      <c r="AJ121" s="2350" t="n"/>
      <c r="AK121" s="2350" t="n"/>
      <c r="AL121" s="2350" t="n"/>
      <c r="AM121" s="2350" t="n"/>
      <c r="AN121" s="2351" t="n"/>
      <c r="AO121" s="2177" t="n"/>
      <c r="AP121" s="2216" t="n"/>
    </row>
    <row customHeight="1" ht="30.75" r="122" s="1843" spans="1:44">
      <c r="B122" s="2182" t="n"/>
      <c r="C122" s="2183" t="s">
        <v>62</v>
      </c>
      <c r="D122" s="2184" t="s">
        <v>63</v>
      </c>
      <c r="E122" s="2281" t="s">
        <v>64</v>
      </c>
      <c r="F122" s="2282" t="s">
        <v>174</v>
      </c>
      <c r="G122" s="2184" t="s">
        <v>66</v>
      </c>
      <c r="H122" s="2281" t="s">
        <v>67</v>
      </c>
      <c r="I122" s="2282" t="s">
        <v>69</v>
      </c>
      <c r="J122" s="2184" t="s">
        <v>70</v>
      </c>
      <c r="K122" s="2281" t="s">
        <v>71</v>
      </c>
      <c r="L122" s="2283" t="s">
        <v>72</v>
      </c>
      <c r="M122" s="2184" t="s">
        <v>73</v>
      </c>
      <c r="N122" s="2284" t="s">
        <v>74</v>
      </c>
      <c r="O122" s="2182" t="n"/>
      <c r="P122" s="2183">
        <f>C122</f>
        <v/>
      </c>
      <c r="Q122" s="2184">
        <f>D122</f>
        <v/>
      </c>
      <c r="R122" s="2281">
        <f>E122</f>
        <v/>
      </c>
      <c r="S122" s="2282" t="s">
        <v>174</v>
      </c>
      <c r="T122" s="2184" t="s">
        <v>66</v>
      </c>
      <c r="U122" s="2281" t="s">
        <v>67</v>
      </c>
      <c r="V122" s="2282" t="s">
        <v>69</v>
      </c>
      <c r="W122" s="2184" t="s">
        <v>70</v>
      </c>
      <c r="X122" s="2281" t="s">
        <v>71</v>
      </c>
      <c r="Y122" s="2283" t="s">
        <v>72</v>
      </c>
      <c r="Z122" s="2184" t="s">
        <v>73</v>
      </c>
      <c r="AA122" s="2284" t="s">
        <v>74</v>
      </c>
      <c r="AB122" s="2182" t="n"/>
      <c r="AC122" s="2183">
        <f>C122</f>
        <v/>
      </c>
      <c r="AD122" s="2184">
        <f>D122</f>
        <v/>
      </c>
      <c r="AE122" s="2281">
        <f>E122</f>
        <v/>
      </c>
      <c r="AF122" s="2282" t="s">
        <v>174</v>
      </c>
      <c r="AG122" s="2184" t="s">
        <v>66</v>
      </c>
      <c r="AH122" s="2281" t="s">
        <v>67</v>
      </c>
      <c r="AI122" s="2282" t="s">
        <v>69</v>
      </c>
      <c r="AJ122" s="2184" t="s">
        <v>70</v>
      </c>
      <c r="AK122" s="2281" t="s">
        <v>71</v>
      </c>
      <c r="AL122" s="2283" t="s">
        <v>72</v>
      </c>
      <c r="AM122" s="2184" t="s">
        <v>73</v>
      </c>
      <c r="AN122" s="2284" t="s">
        <v>74</v>
      </c>
      <c r="AO122" s="2182" t="n"/>
      <c r="AP122" s="2226" t="n"/>
    </row>
    <row r="123" spans="1:44">
      <c r="A123" s="2255" t="s">
        <v>156</v>
      </c>
      <c r="B123" s="2187" t="n"/>
      <c r="C123" s="2188" t="n"/>
      <c r="D123" s="2189" t="n"/>
      <c r="E123" s="2189" t="n"/>
      <c r="F123" s="2286" t="n"/>
      <c r="G123" s="2189" t="n"/>
      <c r="H123" s="2189" t="n"/>
      <c r="I123" s="2206" t="n"/>
      <c r="J123" s="2206" t="n"/>
      <c r="K123" s="2287" t="n"/>
      <c r="L123" s="2287" t="n"/>
      <c r="M123" s="2287" t="n"/>
      <c r="N123" s="2288" t="n"/>
      <c r="O123" s="2187" t="n"/>
      <c r="P123" s="2191">
        <f>PL!D365</f>
        <v/>
      </c>
      <c r="Q123" s="2192">
        <f>PL!H365</f>
        <v/>
      </c>
      <c r="R123" s="2192">
        <f>PL!L365</f>
        <v/>
      </c>
      <c r="S123" s="2192">
        <f>PL!P365</f>
        <v/>
      </c>
      <c r="T123" s="2192">
        <f>PL!T365</f>
        <v/>
      </c>
      <c r="U123" s="2192">
        <f>PL!X365</f>
        <v/>
      </c>
      <c r="V123" s="2192">
        <f>PL!AB365</f>
        <v/>
      </c>
      <c r="W123" s="2192">
        <f>PL!AF365</f>
        <v/>
      </c>
      <c r="X123" s="2192">
        <f>PL!AJ365</f>
        <v/>
      </c>
      <c r="Y123" s="2192">
        <f>PL!AN365</f>
        <v/>
      </c>
      <c r="Z123" s="2192">
        <f>PL!AR365</f>
        <v/>
      </c>
      <c r="AA123" s="2193">
        <f>PL!AV365</f>
        <v/>
      </c>
      <c r="AB123" s="2187" t="n"/>
      <c r="AC123" s="2188" t="n"/>
      <c r="AD123" s="2189" t="n"/>
      <c r="AE123" s="2189" t="n"/>
      <c r="AF123" s="2286" t="n"/>
      <c r="AG123" s="2189" t="n"/>
      <c r="AH123" s="2189" t="n"/>
      <c r="AI123" s="2206" t="n"/>
      <c r="AJ123" s="2206" t="n"/>
      <c r="AK123" s="2287" t="n"/>
      <c r="AL123" s="2287" t="n"/>
      <c r="AM123" s="2287" t="n"/>
      <c r="AN123" s="2288" t="n"/>
      <c r="AO123" s="2187" t="n"/>
      <c r="AP123" s="554" t="n"/>
    </row>
    <row r="124" spans="1:44">
      <c r="A124" s="2255" t="s">
        <v>157</v>
      </c>
      <c r="B124" s="2187" t="n"/>
      <c r="C124" s="2188" t="n"/>
      <c r="D124" s="2189" t="n"/>
      <c r="E124" s="2189" t="n"/>
      <c r="F124" s="2286" t="n"/>
      <c r="G124" s="2189" t="n"/>
      <c r="H124" s="2189" t="n"/>
      <c r="I124" s="2189" t="n"/>
      <c r="J124" s="2189" t="n"/>
      <c r="K124" s="2189" t="n"/>
      <c r="L124" s="2189" t="n"/>
      <c r="M124" s="2189" t="n"/>
      <c r="N124" s="2190" t="n"/>
      <c r="O124" s="2187" t="n"/>
      <c r="P124" s="2191">
        <f>PL!D372</f>
        <v/>
      </c>
      <c r="Q124" s="2192">
        <f>PL!H372</f>
        <v/>
      </c>
      <c r="R124" s="2192">
        <f>PL!L372</f>
        <v/>
      </c>
      <c r="S124" s="2192">
        <f>PL!P372</f>
        <v/>
      </c>
      <c r="T124" s="2192">
        <f>PL!T372</f>
        <v/>
      </c>
      <c r="U124" s="2192">
        <f>PL!X372</f>
        <v/>
      </c>
      <c r="V124" s="2192">
        <f>PL!AB372</f>
        <v/>
      </c>
      <c r="W124" s="2192">
        <f>PL!AF372</f>
        <v/>
      </c>
      <c r="X124" s="2192">
        <f>PL!AJ372</f>
        <v/>
      </c>
      <c r="Y124" s="2192">
        <f>PL!AN372</f>
        <v/>
      </c>
      <c r="Z124" s="2192">
        <f>PL!AR372</f>
        <v/>
      </c>
      <c r="AA124" s="2193">
        <f>PL!AV372</f>
        <v/>
      </c>
      <c r="AB124" s="2187" t="n"/>
      <c r="AC124" s="2188" t="n"/>
      <c r="AD124" s="2189" t="n"/>
      <c r="AE124" s="2189" t="n"/>
      <c r="AF124" s="2286" t="n"/>
      <c r="AG124" s="2189" t="n"/>
      <c r="AH124" s="2189" t="n"/>
      <c r="AI124" s="2189" t="n"/>
      <c r="AJ124" s="2189" t="n"/>
      <c r="AK124" s="2189" t="n"/>
      <c r="AL124" s="2189" t="n"/>
      <c r="AM124" s="2189" t="n"/>
      <c r="AN124" s="2190" t="n"/>
      <c r="AO124" s="2187" t="n"/>
      <c r="AP124" s="554" t="n"/>
    </row>
    <row r="125" spans="1:44">
      <c r="A125" s="2255" t="s">
        <v>158</v>
      </c>
      <c r="B125" s="2187" t="n"/>
      <c r="C125" s="2188" t="n"/>
      <c r="D125" s="2189" t="n"/>
      <c r="E125" s="2189" t="n"/>
      <c r="F125" s="2286" t="n"/>
      <c r="G125" s="2189" t="n"/>
      <c r="H125" s="2189" t="n"/>
      <c r="I125" s="2287" t="n"/>
      <c r="J125" s="2287" t="n"/>
      <c r="K125" s="2287" t="n"/>
      <c r="L125" s="2287" t="n"/>
      <c r="M125" s="2287" t="n"/>
      <c r="N125" s="2289" t="n"/>
      <c r="O125" s="2187" t="n"/>
      <c r="P125" s="2191">
        <f>PL!D368</f>
        <v/>
      </c>
      <c r="Q125" s="2192">
        <f>PL!H368</f>
        <v/>
      </c>
      <c r="R125" s="2192">
        <f>PL!L368</f>
        <v/>
      </c>
      <c r="S125" s="2192">
        <f>PL!P368</f>
        <v/>
      </c>
      <c r="T125" s="2192">
        <f>PL!T368</f>
        <v/>
      </c>
      <c r="U125" s="2192">
        <f>PL!X368</f>
        <v/>
      </c>
      <c r="V125" s="2192">
        <f>PL!AB368</f>
        <v/>
      </c>
      <c r="W125" s="2192">
        <f>PL!AF368</f>
        <v/>
      </c>
      <c r="X125" s="2192">
        <f>PL!AJ368</f>
        <v/>
      </c>
      <c r="Y125" s="2192">
        <f>PL!AN368</f>
        <v/>
      </c>
      <c r="Z125" s="2192">
        <f>PL!AR368</f>
        <v/>
      </c>
      <c r="AA125" s="2193">
        <f>PL!AV368</f>
        <v/>
      </c>
      <c r="AB125" s="2187" t="n"/>
      <c r="AC125" s="2188" t="n"/>
      <c r="AD125" s="2189" t="n"/>
      <c r="AE125" s="2189" t="n"/>
      <c r="AF125" s="2286" t="n"/>
      <c r="AG125" s="2189" t="n"/>
      <c r="AH125" s="2189" t="n"/>
      <c r="AI125" s="2287" t="n"/>
      <c r="AJ125" s="2287" t="n"/>
      <c r="AK125" s="2287" t="n"/>
      <c r="AL125" s="2287" t="n"/>
      <c r="AM125" s="2287" t="n"/>
      <c r="AN125" s="2289" t="n"/>
      <c r="AO125" s="2187" t="n"/>
      <c r="AP125" s="554" t="n"/>
    </row>
    <row r="126" spans="1:44">
      <c r="A126" s="2255" t="s">
        <v>159</v>
      </c>
      <c r="B126" s="2187" t="n"/>
      <c r="C126" s="2188" t="n"/>
      <c r="D126" s="2189" t="n"/>
      <c r="E126" s="2189" t="n"/>
      <c r="F126" s="2286" t="n"/>
      <c r="G126" s="2189" t="n"/>
      <c r="H126" s="2189" t="n"/>
      <c r="I126" s="2189" t="n"/>
      <c r="J126" s="2189" t="n"/>
      <c r="K126" s="2189" t="n"/>
      <c r="L126" s="2189" t="n"/>
      <c r="M126" s="2189" t="n"/>
      <c r="N126" s="2190" t="n"/>
      <c r="O126" s="2187" t="n"/>
      <c r="P126" s="2191">
        <f>PL!D367+PL!D378</f>
        <v/>
      </c>
      <c r="Q126" s="2192">
        <f>PL!H367+PL!H378</f>
        <v/>
      </c>
      <c r="R126" s="2192">
        <f>PL!L367+PL!L378</f>
        <v/>
      </c>
      <c r="S126" s="2192">
        <f>PL!P367+PL!P378</f>
        <v/>
      </c>
      <c r="T126" s="2192">
        <f>PL!T367+PL!T378</f>
        <v/>
      </c>
      <c r="U126" s="2192">
        <f>PL!X367+PL!X378</f>
        <v/>
      </c>
      <c r="V126" s="2192">
        <f>PL!AB367+PL!AB378</f>
        <v/>
      </c>
      <c r="W126" s="2192">
        <f>PL!AF367+PL!AF378</f>
        <v/>
      </c>
      <c r="X126" s="2192">
        <f>PL!AJ367+PL!AJ378</f>
        <v/>
      </c>
      <c r="Y126" s="2192">
        <f>PL!AN367+PL!AN378</f>
        <v/>
      </c>
      <c r="Z126" s="2192">
        <f>PL!AR367+PL!AR378</f>
        <v/>
      </c>
      <c r="AA126" s="2193">
        <f>PL!AV367+PL!AV378</f>
        <v/>
      </c>
      <c r="AB126" s="2187" t="n"/>
      <c r="AC126" s="2188" t="n"/>
      <c r="AD126" s="2189" t="n"/>
      <c r="AE126" s="2189" t="n"/>
      <c r="AF126" s="2286" t="n"/>
      <c r="AG126" s="2189" t="n"/>
      <c r="AH126" s="2189" t="n"/>
      <c r="AI126" s="2189" t="n"/>
      <c r="AJ126" s="2189" t="n"/>
      <c r="AK126" s="2189" t="n"/>
      <c r="AL126" s="2189" t="n"/>
      <c r="AM126" s="2189" t="n"/>
      <c r="AN126" s="2190" t="n"/>
      <c r="AO126" s="2187" t="n"/>
      <c r="AP126" s="554" t="n"/>
    </row>
    <row r="127" spans="1:44">
      <c r="A127" s="2255" t="s">
        <v>160</v>
      </c>
      <c r="B127" s="2187" t="n"/>
      <c r="C127" s="2188" t="n"/>
      <c r="D127" s="2189" t="n"/>
      <c r="E127" s="2189" t="n"/>
      <c r="F127" s="2286" t="n"/>
      <c r="G127" s="2189" t="n"/>
      <c r="H127" s="2189" t="n"/>
      <c r="I127" s="2287" t="n"/>
      <c r="J127" s="2287" t="n"/>
      <c r="K127" s="2287" t="n"/>
      <c r="L127" s="2287" t="n"/>
      <c r="M127" s="2287" t="n"/>
      <c r="N127" s="2289" t="n"/>
      <c r="O127" s="2187" t="n"/>
      <c r="P127" s="2191">
        <f>PL!D375</f>
        <v/>
      </c>
      <c r="Q127" s="2192">
        <f>PL!H375</f>
        <v/>
      </c>
      <c r="R127" s="2192">
        <f>PL!L375</f>
        <v/>
      </c>
      <c r="S127" s="2192">
        <f>PL!P375</f>
        <v/>
      </c>
      <c r="T127" s="2192">
        <f>PL!T375</f>
        <v/>
      </c>
      <c r="U127" s="2192">
        <f>PL!X375</f>
        <v/>
      </c>
      <c r="V127" s="2192">
        <f>PL!AB375</f>
        <v/>
      </c>
      <c r="W127" s="2192">
        <f>PL!AF375</f>
        <v/>
      </c>
      <c r="X127" s="2192">
        <f>PL!AJ375</f>
        <v/>
      </c>
      <c r="Y127" s="2192">
        <f>PL!AN375</f>
        <v/>
      </c>
      <c r="Z127" s="2192">
        <f>PL!AR375</f>
        <v/>
      </c>
      <c r="AA127" s="2193">
        <f>PL!AV375</f>
        <v/>
      </c>
      <c r="AB127" s="2187" t="n"/>
      <c r="AC127" s="2188" t="n"/>
      <c r="AD127" s="2189" t="n"/>
      <c r="AE127" s="2189" t="n"/>
      <c r="AF127" s="2286" t="n"/>
      <c r="AG127" s="2189" t="n"/>
      <c r="AH127" s="2189" t="n"/>
      <c r="AI127" s="2287" t="n"/>
      <c r="AJ127" s="2287" t="n"/>
      <c r="AK127" s="2287" t="n"/>
      <c r="AL127" s="2287" t="n"/>
      <c r="AM127" s="2287" t="n"/>
      <c r="AN127" s="2289" t="n"/>
      <c r="AO127" s="2187" t="n"/>
      <c r="AP127" s="554" t="n"/>
    </row>
    <row r="128" spans="1:44">
      <c r="A128" s="2255" t="s">
        <v>161</v>
      </c>
      <c r="B128" s="2187" t="n"/>
      <c r="C128" s="2188" t="n"/>
      <c r="D128" s="2189" t="n"/>
      <c r="E128" s="2189" t="n"/>
      <c r="F128" s="2286" t="n"/>
      <c r="G128" s="2189" t="n"/>
      <c r="H128" s="2189" t="n"/>
      <c r="I128" s="2189" t="n"/>
      <c r="J128" s="2189" t="n"/>
      <c r="K128" s="2189" t="n"/>
      <c r="L128" s="2189" t="n"/>
      <c r="M128" s="2189" t="n"/>
      <c r="N128" s="2190" t="n"/>
      <c r="O128" s="2187" t="n"/>
      <c r="P128" s="2191">
        <f>PL!D373</f>
        <v/>
      </c>
      <c r="Q128" s="2192">
        <f>PL!H373</f>
        <v/>
      </c>
      <c r="R128" s="2192">
        <f>PL!L373</f>
        <v/>
      </c>
      <c r="S128" s="2192">
        <f>PL!P373</f>
        <v/>
      </c>
      <c r="T128" s="2192">
        <f>PL!T373</f>
        <v/>
      </c>
      <c r="U128" s="2192">
        <f>PL!X373</f>
        <v/>
      </c>
      <c r="V128" s="2192">
        <f>PL!AB373</f>
        <v/>
      </c>
      <c r="W128" s="2192">
        <f>PL!AF373</f>
        <v/>
      </c>
      <c r="X128" s="2192">
        <f>PL!AJ373</f>
        <v/>
      </c>
      <c r="Y128" s="2192">
        <f>PL!AN373</f>
        <v/>
      </c>
      <c r="Z128" s="2192">
        <f>PL!AR373</f>
        <v/>
      </c>
      <c r="AA128" s="2193">
        <f>PL!AV373</f>
        <v/>
      </c>
      <c r="AB128" s="2187" t="n"/>
      <c r="AC128" s="2188" t="n"/>
      <c r="AD128" s="2189" t="n"/>
      <c r="AE128" s="2189" t="n"/>
      <c r="AF128" s="2286" t="n"/>
      <c r="AG128" s="2189" t="n"/>
      <c r="AH128" s="2189" t="n"/>
      <c r="AI128" s="2189" t="n"/>
      <c r="AJ128" s="2189" t="n"/>
      <c r="AK128" s="2189" t="n"/>
      <c r="AL128" s="2189" t="n"/>
      <c r="AM128" s="2189" t="n"/>
      <c r="AN128" s="2190" t="n"/>
      <c r="AO128" s="2187" t="n"/>
      <c r="AP128" s="554" t="n"/>
    </row>
    <row r="129" spans="1:44">
      <c r="A129" s="2255" t="s">
        <v>162</v>
      </c>
      <c r="B129" s="2187" t="n"/>
      <c r="C129" s="2188" t="n"/>
      <c r="D129" s="2189" t="n"/>
      <c r="E129" s="2189" t="n"/>
      <c r="F129" s="2286" t="n"/>
      <c r="G129" s="2189" t="n"/>
      <c r="H129" s="2189" t="n"/>
      <c r="I129" s="2287" t="n"/>
      <c r="J129" s="2287" t="n"/>
      <c r="K129" s="2287" t="n"/>
      <c r="L129" s="2287" t="n"/>
      <c r="M129" s="2287" t="n"/>
      <c r="N129" s="2190" t="n"/>
      <c r="O129" s="2187" t="n"/>
      <c r="P129" s="2191">
        <f>PL!D374</f>
        <v/>
      </c>
      <c r="Q129" s="2192">
        <f>PL!H374</f>
        <v/>
      </c>
      <c r="R129" s="2192">
        <f>PL!L374</f>
        <v/>
      </c>
      <c r="S129" s="2192">
        <f>PL!P374</f>
        <v/>
      </c>
      <c r="T129" s="2192">
        <f>PL!T374</f>
        <v/>
      </c>
      <c r="U129" s="2192">
        <f>PL!X374</f>
        <v/>
      </c>
      <c r="V129" s="2192">
        <f>PL!AB374</f>
        <v/>
      </c>
      <c r="W129" s="2192">
        <f>PL!AF374</f>
        <v/>
      </c>
      <c r="X129" s="2192">
        <f>PL!AJ374</f>
        <v/>
      </c>
      <c r="Y129" s="2192">
        <f>PL!AN374</f>
        <v/>
      </c>
      <c r="Z129" s="2192">
        <f>PL!AR374</f>
        <v/>
      </c>
      <c r="AA129" s="2193">
        <f>PL!AV374</f>
        <v/>
      </c>
      <c r="AB129" s="2187" t="n"/>
      <c r="AC129" s="2188" t="n"/>
      <c r="AD129" s="2189" t="n"/>
      <c r="AE129" s="2189" t="n"/>
      <c r="AF129" s="2286" t="n"/>
      <c r="AG129" s="2189" t="n"/>
      <c r="AH129" s="2189" t="n"/>
      <c r="AI129" s="2287" t="n"/>
      <c r="AJ129" s="2287" t="n"/>
      <c r="AK129" s="2287" t="n"/>
      <c r="AL129" s="2287" t="n"/>
      <c r="AM129" s="2287" t="n"/>
      <c r="AN129" s="2190" t="n"/>
      <c r="AO129" s="2187" t="n"/>
      <c r="AP129" s="554" t="n"/>
    </row>
    <row r="130" spans="1:44">
      <c r="A130" s="2255" t="s">
        <v>163</v>
      </c>
      <c r="B130" s="2187" t="n"/>
      <c r="C130" s="2188" t="n"/>
      <c r="D130" s="2189" t="n"/>
      <c r="E130" s="2189" t="n"/>
      <c r="F130" s="2286" t="n"/>
      <c r="G130" s="2189" t="n"/>
      <c r="H130" s="2189" t="n"/>
      <c r="I130" s="2189" t="n"/>
      <c r="J130" s="2189" t="n"/>
      <c r="K130" s="2189" t="n"/>
      <c r="L130" s="2189" t="n"/>
      <c r="M130" s="2189" t="n"/>
      <c r="N130" s="2190" t="n"/>
      <c r="O130" s="2187" t="n"/>
      <c r="P130" s="2191">
        <f>PL!D370</f>
        <v/>
      </c>
      <c r="Q130" s="2192">
        <f>PL!H370</f>
        <v/>
      </c>
      <c r="R130" s="2192">
        <f>PL!L370</f>
        <v/>
      </c>
      <c r="S130" s="2192">
        <f>PL!P370</f>
        <v/>
      </c>
      <c r="T130" s="2192">
        <f>PL!T370</f>
        <v/>
      </c>
      <c r="U130" s="2192">
        <f>PL!X370</f>
        <v/>
      </c>
      <c r="V130" s="2192">
        <f>PL!AB370</f>
        <v/>
      </c>
      <c r="W130" s="2192">
        <f>PL!AF370</f>
        <v/>
      </c>
      <c r="X130" s="2192">
        <f>PL!AJ370</f>
        <v/>
      </c>
      <c r="Y130" s="2192">
        <f>PL!AN370</f>
        <v/>
      </c>
      <c r="Z130" s="2192">
        <f>PL!AR370</f>
        <v/>
      </c>
      <c r="AA130" s="2193">
        <f>PL!AV370</f>
        <v/>
      </c>
      <c r="AB130" s="2187" t="n"/>
      <c r="AC130" s="2188" t="n"/>
      <c r="AD130" s="2189" t="n"/>
      <c r="AE130" s="2230" t="n"/>
      <c r="AF130" s="2286" t="n"/>
      <c r="AG130" s="2189" t="n"/>
      <c r="AH130" s="2189" t="n"/>
      <c r="AI130" s="2189" t="n"/>
      <c r="AJ130" s="2189" t="n"/>
      <c r="AK130" s="2189" t="n"/>
      <c r="AL130" s="2189" t="n"/>
      <c r="AM130" s="2189" t="n"/>
      <c r="AN130" s="2190" t="n"/>
      <c r="AO130" s="2187" t="n"/>
      <c r="AP130" s="554" t="n"/>
    </row>
    <row r="131" spans="1:44">
      <c r="A131" s="2255" t="s">
        <v>164</v>
      </c>
      <c r="B131" s="2187" t="n"/>
      <c r="C131" s="2313" t="n"/>
      <c r="D131" s="2189" t="n"/>
      <c r="E131" s="2189" t="n"/>
      <c r="F131" s="2286" t="n"/>
      <c r="G131" s="2189" t="n"/>
      <c r="H131" s="2189" t="n"/>
      <c r="I131" s="2314" t="n"/>
      <c r="J131" s="2314" t="n"/>
      <c r="K131" s="2314" t="n"/>
      <c r="L131" s="2314" t="n"/>
      <c r="M131" s="2314" t="n"/>
      <c r="N131" s="2315" t="n"/>
      <c r="O131" s="2187" t="n"/>
      <c r="P131" s="2191">
        <f>PL!D366+PL!D369+PL!D371</f>
        <v/>
      </c>
      <c r="Q131" s="2192">
        <f>PL!H366+PL!H369+PL!H371</f>
        <v/>
      </c>
      <c r="R131" s="2192">
        <f>PL!L366+PL!L369+PL!L371</f>
        <v/>
      </c>
      <c r="S131" s="2192">
        <f>PL!P366+PL!P369+PL!P371</f>
        <v/>
      </c>
      <c r="T131" s="2192">
        <f>PL!T366+PL!T369+PL!T371</f>
        <v/>
      </c>
      <c r="U131" s="2192">
        <f>PL!X366+PL!X369+PL!X371</f>
        <v/>
      </c>
      <c r="V131" s="2192">
        <f>PL!AB366+PL!AB369+PL!AB371</f>
        <v/>
      </c>
      <c r="W131" s="2192">
        <f>PL!AF366+PL!AF369+PL!AF371</f>
        <v/>
      </c>
      <c r="X131" s="2192">
        <f>PL!AJ366+PL!AJ369+PL!AJ371</f>
        <v/>
      </c>
      <c r="Y131" s="2192">
        <f>PL!AN366+PL!AN369+PL!AN371</f>
        <v/>
      </c>
      <c r="Z131" s="2192">
        <f>PL!AR366+PL!AR369+PL!AR371</f>
        <v/>
      </c>
      <c r="AA131" s="2193">
        <f>PL!AV366+PL!AV369+PL!AV371</f>
        <v/>
      </c>
      <c r="AB131" s="2187" t="n"/>
      <c r="AC131" s="2188" t="n"/>
      <c r="AD131" s="2189" t="n"/>
      <c r="AE131" s="2189" t="n"/>
      <c r="AF131" s="2286" t="n"/>
      <c r="AG131" s="2189" t="n"/>
      <c r="AH131" s="2189" t="n"/>
      <c r="AI131" s="2314" t="n"/>
      <c r="AJ131" s="2314" t="n"/>
      <c r="AK131" s="2314" t="n"/>
      <c r="AL131" s="2314" t="n"/>
      <c r="AM131" s="2314" t="n"/>
      <c r="AN131" s="2315" t="n"/>
      <c r="AO131" s="2187" t="n"/>
      <c r="AP131" s="554" t="n"/>
    </row>
    <row r="132" spans="1:44">
      <c r="A132" s="2256" t="s">
        <v>165</v>
      </c>
      <c r="B132" s="2195" t="n"/>
      <c r="C132" s="2318" t="n"/>
      <c r="D132" s="2319" t="n"/>
      <c r="E132" s="2319" t="n"/>
      <c r="F132" s="2320" t="n"/>
      <c r="G132" s="2319" t="n"/>
      <c r="H132" s="2319" t="n"/>
      <c r="I132" s="2319" t="n"/>
      <c r="J132" s="2197" t="n"/>
      <c r="K132" s="2320" t="n"/>
      <c r="L132" s="2319" t="n"/>
      <c r="M132" s="2197" t="n"/>
      <c r="N132" s="2343" t="n"/>
      <c r="O132" s="2195" t="n"/>
      <c r="P132" s="2199">
        <f>PL!D379+PL!#REF!+PL!D381</f>
        <v/>
      </c>
      <c r="Q132" s="2200">
        <f>PL!H379+PL!#REF!+PL!H381</f>
        <v/>
      </c>
      <c r="R132" s="2200">
        <f>PL!L379+PL!#REF!+PL!L381</f>
        <v/>
      </c>
      <c r="S132" s="2200">
        <f>PL!P379+PL!#REF!+PL!P381</f>
        <v/>
      </c>
      <c r="T132" s="2200">
        <f>PL!T379+PL!#REF!+PL!T381</f>
        <v/>
      </c>
      <c r="U132" s="2200">
        <f>PL!X379+PL!#REF!+PL!X381</f>
        <v/>
      </c>
      <c r="V132" s="2200">
        <f>PL!AB379+PL!#REF!+PL!AB381</f>
        <v/>
      </c>
      <c r="W132" s="2200">
        <f>PL!AF379+PL!#REF!+PL!AF381</f>
        <v/>
      </c>
      <c r="X132" s="2200">
        <f>PL!AJ379+PL!#REF!+PL!AJ381</f>
        <v/>
      </c>
      <c r="Y132" s="2200">
        <f>PL!AN379+PL!#REF!+PL!AN381</f>
        <v/>
      </c>
      <c r="Z132" s="2200">
        <f>PL!AR379+PL!#REF!+PL!AR381</f>
        <v/>
      </c>
      <c r="AA132" s="2201">
        <f>PL!AV379+PL!#REF!+PL!AV381</f>
        <v/>
      </c>
      <c r="AB132" s="2195" t="n"/>
      <c r="AC132" s="2196" t="n"/>
      <c r="AD132" s="2197" t="n"/>
      <c r="AE132" s="2197" t="n"/>
      <c r="AF132" s="2320" t="n"/>
      <c r="AG132" s="2319" t="n"/>
      <c r="AH132" s="2319" t="n"/>
      <c r="AI132" s="2319" t="n"/>
      <c r="AJ132" s="2197" t="n"/>
      <c r="AK132" s="2320" t="n"/>
      <c r="AL132" s="2319" t="n"/>
      <c r="AM132" s="2197" t="n"/>
      <c r="AN132" s="2343" t="n"/>
      <c r="AO132" s="2187" t="n"/>
      <c r="AP132" s="554" t="n"/>
    </row>
    <row r="133" spans="1:44">
      <c r="A133" s="2255" t="s">
        <v>89</v>
      </c>
      <c r="B133" s="2187" t="n"/>
      <c r="C133" s="2257">
        <f>PL!C382</f>
        <v/>
      </c>
      <c r="D133" s="2234">
        <f>PL!G382</f>
        <v/>
      </c>
      <c r="E133" s="2258">
        <f>PL!K382</f>
        <v/>
      </c>
      <c r="F133" s="2234">
        <f>PL!O382</f>
        <v/>
      </c>
      <c r="G133" s="2326">
        <f>PL!S382</f>
        <v/>
      </c>
      <c r="H133" s="2234">
        <f>PL!W382</f>
        <v/>
      </c>
      <c r="I133" s="2235">
        <f>PL!AA382</f>
        <v/>
      </c>
      <c r="J133" s="2235">
        <f>PL!AE382</f>
        <v/>
      </c>
      <c r="K133" s="2234">
        <f>PL!AI382</f>
        <v/>
      </c>
      <c r="L133" s="2234">
        <f>PL!AM382</f>
        <v/>
      </c>
      <c r="M133" s="2234">
        <f>PL!AQ382</f>
        <v/>
      </c>
      <c r="N133" s="2327">
        <f>PL!AU382</f>
        <v/>
      </c>
      <c r="O133" s="2187" t="n"/>
      <c r="P133" s="2234" t="n"/>
      <c r="Q133" s="2234" t="n"/>
      <c r="R133" s="2234" t="n"/>
      <c r="S133" s="2235" t="n"/>
      <c r="T133" s="2326" t="n"/>
      <c r="U133" s="2234" t="n"/>
      <c r="V133" s="2235" t="n"/>
      <c r="W133" s="2235" t="n"/>
      <c r="X133" s="2234" t="n"/>
      <c r="Y133" s="2234" t="n"/>
      <c r="Z133" s="2234" t="n"/>
      <c r="AA133" s="2327" t="n"/>
      <c r="AB133" s="2187" t="n"/>
      <c r="AC133" s="2234" t="n"/>
      <c r="AD133" s="2234" t="n"/>
      <c r="AE133" s="2234" t="n"/>
      <c r="AF133" s="2235" t="n"/>
      <c r="AG133" s="2234" t="n"/>
      <c r="AH133" s="2234" t="n"/>
      <c r="AI133" s="2234" t="n"/>
      <c r="AJ133" s="2234" t="n"/>
      <c r="AK133" s="2234" t="n"/>
      <c r="AL133" s="2234" t="n"/>
      <c r="AM133" s="2234" t="n"/>
      <c r="AN133" s="2234" t="n"/>
      <c r="AO133" s="2187" t="n"/>
      <c r="AP133" s="2173" t="n"/>
    </row>
    <row r="134" spans="1:44">
      <c r="A134" s="2265">
        <f>A92</f>
        <v/>
      </c>
      <c r="B134" s="2187" t="n"/>
      <c r="C134" s="2188" t="n"/>
      <c r="D134" s="2189" t="n"/>
      <c r="E134" s="2189" t="n"/>
      <c r="F134" s="2286" t="n"/>
      <c r="G134" s="2189" t="n"/>
      <c r="H134" s="2189" t="n"/>
      <c r="I134" s="2189" t="n"/>
      <c r="J134" s="2189" t="n"/>
      <c r="K134" s="2189" t="n"/>
      <c r="L134" s="2189" t="n"/>
      <c r="M134" s="2189" t="n"/>
      <c r="N134" s="2190" t="n"/>
      <c r="O134" s="2187" t="n"/>
      <c r="P134" s="2188" t="n"/>
      <c r="Q134" s="2189" t="n"/>
      <c r="R134" s="2189" t="n"/>
      <c r="S134" s="2286" t="n"/>
      <c r="T134" s="2189" t="n"/>
      <c r="U134" s="2189" t="n"/>
      <c r="V134" s="2189" t="n"/>
      <c r="W134" s="2189" t="n"/>
      <c r="X134" s="2189" t="n"/>
      <c r="Y134" s="2189" t="n"/>
      <c r="Z134" s="2189" t="n"/>
      <c r="AA134" s="2190" t="n"/>
      <c r="AB134" s="2187" t="n"/>
      <c r="AC134" s="2188">
        <f>SUM(C123:C134)-SUM(P123:P134)</f>
        <v/>
      </c>
      <c r="AD134" s="2189">
        <f>SUM(D123:D134)-SUM(Q123:Q134)</f>
        <v/>
      </c>
      <c r="AE134" s="2189">
        <f>SUM(E123:E134)-SUM(R123:R134)</f>
        <v/>
      </c>
      <c r="AF134" s="2189">
        <f>SUM(F123:F134)-SUM(S123:S134)</f>
        <v/>
      </c>
      <c r="AG134" s="2189">
        <f>SUM(G123:G134)-SUM(T123:T134)</f>
        <v/>
      </c>
      <c r="AH134" s="2189">
        <f>SUM(H123:H134)-SUM(U123:U134)</f>
        <v/>
      </c>
      <c r="AI134" s="2189">
        <f>SUM(I123:I134)-SUM(V123:V134)</f>
        <v/>
      </c>
      <c r="AJ134" s="2189">
        <f>SUM(J123:J134)-SUM(W123:W134)</f>
        <v/>
      </c>
      <c r="AK134" s="2189">
        <f>SUM(K123:K134)-SUM(X123:X134)</f>
        <v/>
      </c>
      <c r="AL134" s="2189">
        <f>SUM(L123:L134)-SUM(Y123:Y134)</f>
        <v/>
      </c>
      <c r="AM134" s="2189">
        <f>SUM(M123:M134)-SUM(Z123:Z134)</f>
        <v/>
      </c>
      <c r="AN134" s="2353">
        <f>SUM(N123:N134)-SUM(AA123:AA134)</f>
        <v/>
      </c>
      <c r="AO134" s="2187" t="n"/>
      <c r="AP134" s="2173" t="n"/>
    </row>
    <row r="135" spans="1:44">
      <c r="A135" s="2204" t="s">
        <v>182</v>
      </c>
      <c r="B135" s="2187" t="n"/>
      <c r="C135" s="2205" t="n"/>
      <c r="D135" s="2206" t="n"/>
      <c r="E135" s="2206" t="n"/>
      <c r="F135" s="2286" t="n"/>
      <c r="G135" s="2189" t="n"/>
      <c r="H135" s="2189" t="n"/>
      <c r="I135" s="2189" t="n"/>
      <c r="J135" s="2189" t="n"/>
      <c r="K135" s="2189" t="n"/>
      <c r="L135" s="2189" t="n"/>
      <c r="M135" s="2189" t="n"/>
      <c r="N135" s="2190" t="n"/>
      <c r="O135" s="2187" t="n"/>
      <c r="P135" s="2205" t="n"/>
      <c r="Q135" s="2206" t="n"/>
      <c r="R135" s="2206" t="n"/>
      <c r="S135" s="2286" t="n"/>
      <c r="T135" s="2189" t="n"/>
      <c r="U135" s="2189" t="n"/>
      <c r="V135" s="2189" t="n"/>
      <c r="W135" s="2189" t="n"/>
      <c r="X135" s="2189" t="n"/>
      <c r="Y135" s="2189" t="n"/>
      <c r="Z135" s="2189" t="n"/>
      <c r="AA135" s="2190" t="n"/>
      <c r="AB135" s="2187" t="n"/>
      <c r="AC135" s="632">
        <f>AC136/C136</f>
        <v/>
      </c>
      <c r="AD135" s="633">
        <f>AD136/D136</f>
        <v/>
      </c>
      <c r="AE135" s="629">
        <f>AE136/E136</f>
        <v/>
      </c>
      <c r="AF135" s="629">
        <f>AF136/F136</f>
        <v/>
      </c>
      <c r="AG135" s="629">
        <f>AG136/G136</f>
        <v/>
      </c>
      <c r="AH135" s="629">
        <f>AH136/H136</f>
        <v/>
      </c>
      <c r="AI135" s="629">
        <f>AI136/I136</f>
        <v/>
      </c>
      <c r="AJ135" s="629">
        <f>AJ136/J136</f>
        <v/>
      </c>
      <c r="AK135" s="629">
        <f>AK136/K136</f>
        <v/>
      </c>
      <c r="AL135" s="629">
        <f>AL136/L136</f>
        <v/>
      </c>
      <c r="AM135" s="629">
        <f>AM136/M136</f>
        <v/>
      </c>
      <c r="AN135" s="720">
        <f>AN136/N136</f>
        <v/>
      </c>
      <c r="AO135" s="2187" t="n"/>
      <c r="AP135" s="2173" t="n"/>
    </row>
    <row customHeight="1" ht="18" r="136" s="1843" spans="1:44" thickBot="1">
      <c r="A136" s="2266" t="s">
        <v>173</v>
      </c>
      <c r="B136" s="2240" t="n"/>
      <c r="C136" s="2244">
        <f>SUM(C123:C134)</f>
        <v/>
      </c>
      <c r="D136" s="2245">
        <f>SUM(D123:D134)</f>
        <v/>
      </c>
      <c r="E136" s="2242">
        <f>SUM(E123:E134)</f>
        <v/>
      </c>
      <c r="F136" s="2242">
        <f>SUM(F123:F134)</f>
        <v/>
      </c>
      <c r="G136" s="2242">
        <f>SUM(G123:G134)</f>
        <v/>
      </c>
      <c r="H136" s="2242">
        <f>SUM(H123:H134)</f>
        <v/>
      </c>
      <c r="I136" s="2242">
        <f>SUM(I123:I134)</f>
        <v/>
      </c>
      <c r="J136" s="2242">
        <f>SUM(J123:J134)</f>
        <v/>
      </c>
      <c r="K136" s="2242">
        <f>SUM(K123:K134)</f>
        <v/>
      </c>
      <c r="L136" s="2242">
        <f>SUM(L123:L134)</f>
        <v/>
      </c>
      <c r="M136" s="2242">
        <f>SUM(M123:M134)</f>
        <v/>
      </c>
      <c r="N136" s="2242">
        <f>SUM(N123:N134)</f>
        <v/>
      </c>
      <c r="O136" s="2240" t="n"/>
      <c r="P136" s="2244">
        <f>SUM(P123:P134)</f>
        <v/>
      </c>
      <c r="Q136" s="2245">
        <f>SUM(Q123:Q134)</f>
        <v/>
      </c>
      <c r="R136" s="2354">
        <f>SUM(R123:R134)</f>
        <v/>
      </c>
      <c r="S136" s="2354">
        <f>SUM(S123:S134)</f>
        <v/>
      </c>
      <c r="T136" s="2354">
        <f>SUM(T123:T134)</f>
        <v/>
      </c>
      <c r="U136" s="2355">
        <f>SUM(U123:U134)</f>
        <v/>
      </c>
      <c r="V136" s="2356">
        <f>SUM(V123:V134)</f>
        <v/>
      </c>
      <c r="W136" s="2356">
        <f>SUM(W123:W134)</f>
        <v/>
      </c>
      <c r="X136" s="2356">
        <f>SUM(X123:X134)</f>
        <v/>
      </c>
      <c r="Y136" s="2356">
        <f>SUM(Y123:Y134)</f>
        <v/>
      </c>
      <c r="Z136" s="2354">
        <f>SUM(Z123:Z134)</f>
        <v/>
      </c>
      <c r="AA136" s="2357">
        <f>SUM(AA123:AA134)</f>
        <v/>
      </c>
      <c r="AB136" s="2240" t="n"/>
      <c r="AC136" s="2244">
        <f>SUM(AC123:AC134)</f>
        <v/>
      </c>
      <c r="AD136" s="2245">
        <f>SUM(AD123:AD134)</f>
        <v/>
      </c>
      <c r="AE136" s="2354">
        <f>SUM(AE123:AE134)</f>
        <v/>
      </c>
      <c r="AF136" s="2354">
        <f>SUM(AF123:AF134)</f>
        <v/>
      </c>
      <c r="AG136" s="2354">
        <f>SUM(AG123:AG134)</f>
        <v/>
      </c>
      <c r="AH136" s="2355">
        <f>SUM(AH123:AH134)</f>
        <v/>
      </c>
      <c r="AI136" s="2354">
        <f>SUM(AI123:AI134)</f>
        <v/>
      </c>
      <c r="AJ136" s="2354">
        <f>SUM(AJ123:AJ134)</f>
        <v/>
      </c>
      <c r="AK136" s="2354">
        <f>SUM(AK123:AK134)</f>
        <v/>
      </c>
      <c r="AL136" s="2354">
        <f>SUM(AL123:AL134)</f>
        <v/>
      </c>
      <c r="AM136" s="2354">
        <f>SUM(AM123:AM134)</f>
        <v/>
      </c>
      <c r="AN136" s="2357">
        <f>SUM(AN123:AN134)</f>
        <v/>
      </c>
      <c r="AO136" s="2240" t="n"/>
      <c r="AP136" s="613" t="n"/>
    </row>
    <row r="137" spans="1:44">
      <c r="A137" s="2267" t="n"/>
    </row>
    <row customHeight="1" ht="18" r="158" s="1843" spans="1:44" thickBot="1"/>
    <row customHeight="1" ht="18" r="159" s="1843" spans="1:44">
      <c r="A159" s="2346" t="n">
        <v>12278</v>
      </c>
      <c r="B159" s="2177" t="n"/>
      <c r="C159" s="2347">
        <f>$C$2</f>
        <v/>
      </c>
      <c r="E159" s="2348" t="n"/>
      <c r="F159" s="2349" t="n"/>
      <c r="G159" s="2350" t="n"/>
      <c r="H159" s="2348" t="n"/>
      <c r="I159" s="2349" t="n"/>
      <c r="J159" s="2350" t="n"/>
      <c r="K159" s="2350" t="n"/>
      <c r="L159" s="2350" t="n"/>
      <c r="M159" s="2350" t="n"/>
      <c r="N159" s="2351" t="n"/>
      <c r="O159" s="2264" t="n"/>
      <c r="P159" s="2261">
        <f>$P$2</f>
        <v/>
      </c>
      <c r="Q159" s="2262" t="n"/>
      <c r="R159" s="2352" t="n"/>
      <c r="S159" s="2349" t="n"/>
      <c r="T159" s="2350" t="n"/>
      <c r="U159" s="2348" t="n"/>
      <c r="V159" s="2349" t="n"/>
      <c r="W159" s="2350" t="n"/>
      <c r="X159" s="2350" t="n"/>
      <c r="Y159" s="2350" t="n"/>
      <c r="Z159" s="2350" t="n"/>
      <c r="AA159" s="2351" t="n"/>
      <c r="AB159" s="2264" t="n"/>
      <c r="AC159" s="2261">
        <f>$AC$2</f>
        <v/>
      </c>
      <c r="AD159" s="2262" t="n"/>
      <c r="AE159" s="2348" t="n"/>
      <c r="AF159" s="2349" t="n"/>
      <c r="AG159" s="2350" t="n"/>
      <c r="AH159" s="2348" t="n"/>
      <c r="AI159" s="2349" t="n"/>
      <c r="AJ159" s="2350" t="n"/>
      <c r="AK159" s="2350" t="n"/>
      <c r="AL159" s="2350" t="n"/>
      <c r="AM159" s="2350" t="n"/>
      <c r="AN159" s="2351" t="n"/>
      <c r="AO159" s="2177" t="n"/>
      <c r="AP159" s="2216" t="n"/>
    </row>
    <row customHeight="1" ht="30.75" r="160" s="1843" spans="1:44">
      <c r="B160" s="2182" t="n"/>
      <c r="C160" s="2183" t="s">
        <v>62</v>
      </c>
      <c r="D160" s="2184" t="s">
        <v>63</v>
      </c>
      <c r="E160" s="2281" t="s">
        <v>64</v>
      </c>
      <c r="F160" s="2282" t="s">
        <v>174</v>
      </c>
      <c r="G160" s="2184" t="s">
        <v>66</v>
      </c>
      <c r="H160" s="2281" t="s">
        <v>67</v>
      </c>
      <c r="I160" s="2282" t="s">
        <v>69</v>
      </c>
      <c r="J160" s="2184" t="s">
        <v>70</v>
      </c>
      <c r="K160" s="2281" t="s">
        <v>71</v>
      </c>
      <c r="L160" s="2283" t="s">
        <v>72</v>
      </c>
      <c r="M160" s="2184" t="s">
        <v>73</v>
      </c>
      <c r="N160" s="2284" t="s">
        <v>74</v>
      </c>
      <c r="O160" s="2182" t="n"/>
      <c r="P160" s="2183">
        <f>C160</f>
        <v/>
      </c>
      <c r="Q160" s="2184">
        <f>D160</f>
        <v/>
      </c>
      <c r="R160" s="2281">
        <f>E160</f>
        <v/>
      </c>
      <c r="S160" s="2282" t="s">
        <v>174</v>
      </c>
      <c r="T160" s="2184" t="s">
        <v>66</v>
      </c>
      <c r="U160" s="2281" t="s">
        <v>67</v>
      </c>
      <c r="V160" s="2282" t="s">
        <v>69</v>
      </c>
      <c r="W160" s="2184" t="s">
        <v>70</v>
      </c>
      <c r="X160" s="2281" t="s">
        <v>71</v>
      </c>
      <c r="Y160" s="2283" t="s">
        <v>72</v>
      </c>
      <c r="Z160" s="2184" t="s">
        <v>73</v>
      </c>
      <c r="AA160" s="2284" t="s">
        <v>74</v>
      </c>
      <c r="AB160" s="2182" t="n"/>
      <c r="AC160" s="2183">
        <f>C160</f>
        <v/>
      </c>
      <c r="AD160" s="2184">
        <f>D160</f>
        <v/>
      </c>
      <c r="AE160" s="2281">
        <f>E160</f>
        <v/>
      </c>
      <c r="AF160" s="2282" t="s">
        <v>174</v>
      </c>
      <c r="AG160" s="2184" t="s">
        <v>66</v>
      </c>
      <c r="AH160" s="2281" t="s">
        <v>67</v>
      </c>
      <c r="AI160" s="2282" t="s">
        <v>69</v>
      </c>
      <c r="AJ160" s="2184" t="s">
        <v>70</v>
      </c>
      <c r="AK160" s="2281" t="s">
        <v>71</v>
      </c>
      <c r="AL160" s="2283" t="s">
        <v>72</v>
      </c>
      <c r="AM160" s="2184" t="s">
        <v>73</v>
      </c>
      <c r="AN160" s="2284" t="s">
        <v>74</v>
      </c>
      <c r="AO160" s="2182" t="n"/>
      <c r="AP160" s="2226" t="n"/>
    </row>
    <row r="161" spans="1:44">
      <c r="A161" s="2255" t="s">
        <v>156</v>
      </c>
      <c r="B161" s="2187" t="n"/>
      <c r="C161" s="2188" t="n"/>
      <c r="D161" s="2189" t="n"/>
      <c r="E161" s="2189" t="n"/>
      <c r="F161" s="2286" t="n"/>
      <c r="G161" s="2189" t="n"/>
      <c r="H161" s="2189" t="n"/>
      <c r="I161" s="2206" t="n"/>
      <c r="J161" s="2206" t="n"/>
      <c r="K161" s="2287" t="n"/>
      <c r="L161" s="2287" t="n"/>
      <c r="M161" s="2287" t="n"/>
      <c r="N161" s="2288" t="n"/>
      <c r="O161" s="2187" t="n"/>
      <c r="P161" s="2191">
        <f>PL!D437</f>
        <v/>
      </c>
      <c r="Q161" s="2192">
        <f>PL!H437</f>
        <v/>
      </c>
      <c r="R161" s="2192">
        <f>PL!L437</f>
        <v/>
      </c>
      <c r="S161" s="2192">
        <f>PL!P437</f>
        <v/>
      </c>
      <c r="T161" s="2192">
        <f>PL!T437</f>
        <v/>
      </c>
      <c r="U161" s="2192">
        <f>PL!X437</f>
        <v/>
      </c>
      <c r="V161" s="2192">
        <f>PL!AB437</f>
        <v/>
      </c>
      <c r="W161" s="2192">
        <f>PL!AF437</f>
        <v/>
      </c>
      <c r="X161" s="2192">
        <f>PL!AJ437</f>
        <v/>
      </c>
      <c r="Y161" s="2192">
        <f>PL!AN437</f>
        <v/>
      </c>
      <c r="Z161" s="2192">
        <f>PL!AR437</f>
        <v/>
      </c>
      <c r="AA161" s="2193">
        <f>PL!AV437</f>
        <v/>
      </c>
      <c r="AB161" s="2187" t="n"/>
      <c r="AC161" s="2188" t="n"/>
      <c r="AD161" s="2189" t="n"/>
      <c r="AE161" s="2189" t="n"/>
      <c r="AF161" s="2286" t="n"/>
      <c r="AG161" s="2189" t="n"/>
      <c r="AH161" s="2189" t="n"/>
      <c r="AI161" s="2206" t="n"/>
      <c r="AJ161" s="2206" t="n"/>
      <c r="AK161" s="2287" t="n"/>
      <c r="AL161" s="2287" t="n"/>
      <c r="AM161" s="2287" t="n"/>
      <c r="AN161" s="2288" t="n"/>
      <c r="AO161" s="2187" t="n"/>
      <c r="AP161" s="554" t="n"/>
    </row>
    <row r="162" spans="1:44">
      <c r="A162" s="2255" t="s">
        <v>157</v>
      </c>
      <c r="B162" s="2187" t="n"/>
      <c r="C162" s="2188" t="n"/>
      <c r="D162" s="2189" t="n"/>
      <c r="E162" s="2189" t="n"/>
      <c r="F162" s="2286" t="n"/>
      <c r="G162" s="2189" t="n"/>
      <c r="H162" s="2189" t="n"/>
      <c r="I162" s="2189" t="n"/>
      <c r="J162" s="2189" t="n"/>
      <c r="K162" s="2189" t="n"/>
      <c r="L162" s="2189" t="n"/>
      <c r="M162" s="2189" t="n"/>
      <c r="N162" s="2190" t="n"/>
      <c r="O162" s="2187" t="n"/>
      <c r="P162" s="2191">
        <f>PL!D444</f>
        <v/>
      </c>
      <c r="Q162" s="2192">
        <f>PL!H444</f>
        <v/>
      </c>
      <c r="R162" s="2192">
        <f>PL!L444</f>
        <v/>
      </c>
      <c r="S162" s="2192">
        <f>PL!P444</f>
        <v/>
      </c>
      <c r="T162" s="2192">
        <f>PL!T444</f>
        <v/>
      </c>
      <c r="U162" s="2192">
        <f>PL!X444</f>
        <v/>
      </c>
      <c r="V162" s="2192">
        <f>PL!AB444</f>
        <v/>
      </c>
      <c r="W162" s="2192">
        <f>PL!AF444</f>
        <v/>
      </c>
      <c r="X162" s="2192">
        <f>PL!AJ444</f>
        <v/>
      </c>
      <c r="Y162" s="2192">
        <f>PL!AN444</f>
        <v/>
      </c>
      <c r="Z162" s="2192">
        <f>PL!AR444</f>
        <v/>
      </c>
      <c r="AA162" s="2193">
        <f>PL!AV444</f>
        <v/>
      </c>
      <c r="AB162" s="2187" t="n"/>
      <c r="AC162" s="2188" t="n"/>
      <c r="AD162" s="2189" t="n"/>
      <c r="AE162" s="2189" t="n"/>
      <c r="AF162" s="2286" t="n"/>
      <c r="AG162" s="2189" t="n"/>
      <c r="AH162" s="2189" t="n"/>
      <c r="AI162" s="2189" t="n"/>
      <c r="AJ162" s="2189" t="n"/>
      <c r="AK162" s="2189" t="n"/>
      <c r="AL162" s="2189" t="n"/>
      <c r="AM162" s="2189" t="n"/>
      <c r="AN162" s="2190" t="n"/>
      <c r="AO162" s="2187" t="n"/>
      <c r="AP162" s="554" t="n"/>
    </row>
    <row r="163" spans="1:44">
      <c r="A163" s="2255" t="s">
        <v>158</v>
      </c>
      <c r="B163" s="2187" t="n"/>
      <c r="C163" s="2188" t="n"/>
      <c r="D163" s="2189" t="n"/>
      <c r="E163" s="2189" t="n"/>
      <c r="F163" s="2286" t="n"/>
      <c r="G163" s="2189" t="n"/>
      <c r="H163" s="2189" t="n"/>
      <c r="I163" s="2287" t="n"/>
      <c r="J163" s="2287" t="n"/>
      <c r="K163" s="2287" t="n"/>
      <c r="L163" s="2287" t="n"/>
      <c r="M163" s="2287" t="n"/>
      <c r="N163" s="2289" t="n"/>
      <c r="O163" s="2187" t="n"/>
      <c r="P163" s="2191">
        <f>PL!D440</f>
        <v/>
      </c>
      <c r="Q163" s="2192">
        <f>PL!H440</f>
        <v/>
      </c>
      <c r="R163" s="2192">
        <f>PL!L440</f>
        <v/>
      </c>
      <c r="S163" s="2192">
        <f>PL!P440</f>
        <v/>
      </c>
      <c r="T163" s="2192">
        <f>PL!T440</f>
        <v/>
      </c>
      <c r="U163" s="2192">
        <f>PL!X440</f>
        <v/>
      </c>
      <c r="V163" s="2192">
        <f>PL!AB440</f>
        <v/>
      </c>
      <c r="W163" s="2192">
        <f>PL!AF440</f>
        <v/>
      </c>
      <c r="X163" s="2192">
        <f>PL!AJ440</f>
        <v/>
      </c>
      <c r="Y163" s="2192">
        <f>PL!AN440</f>
        <v/>
      </c>
      <c r="Z163" s="2192">
        <f>PL!AR440</f>
        <v/>
      </c>
      <c r="AA163" s="2193">
        <f>PL!AV440</f>
        <v/>
      </c>
      <c r="AB163" s="2187" t="n"/>
      <c r="AC163" s="2188" t="n"/>
      <c r="AD163" s="2189" t="n"/>
      <c r="AE163" s="2189" t="n"/>
      <c r="AF163" s="2286" t="n"/>
      <c r="AG163" s="2189" t="n"/>
      <c r="AH163" s="2189" t="n"/>
      <c r="AI163" s="2287" t="n"/>
      <c r="AJ163" s="2287" t="n"/>
      <c r="AK163" s="2287" t="n"/>
      <c r="AL163" s="2287" t="n"/>
      <c r="AM163" s="2287" t="n"/>
      <c r="AN163" s="2289" t="n"/>
      <c r="AO163" s="2187" t="n"/>
      <c r="AP163" s="554" t="n"/>
    </row>
    <row r="164" spans="1:44">
      <c r="A164" s="2255" t="s">
        <v>159</v>
      </c>
      <c r="B164" s="2187" t="n"/>
      <c r="C164" s="2188" t="n"/>
      <c r="D164" s="2189" t="n"/>
      <c r="E164" s="2189" t="n"/>
      <c r="F164" s="2286" t="n"/>
      <c r="G164" s="2189" t="n"/>
      <c r="H164" s="2189" t="n"/>
      <c r="I164" s="2189" t="n"/>
      <c r="J164" s="2189" t="n"/>
      <c r="K164" s="2189" t="n"/>
      <c r="L164" s="2189" t="n"/>
      <c r="M164" s="2189" t="n"/>
      <c r="N164" s="2190" t="n"/>
      <c r="O164" s="2187" t="n"/>
      <c r="P164" s="2191">
        <f>PL!D439+PL!D449</f>
        <v/>
      </c>
      <c r="Q164" s="2192">
        <f>PL!H439+PL!H449</f>
        <v/>
      </c>
      <c r="R164" s="2192">
        <f>PL!L439+PL!L449</f>
        <v/>
      </c>
      <c r="S164" s="2192">
        <f>PL!P439+PL!P449</f>
        <v/>
      </c>
      <c r="T164" s="2192">
        <f>PL!T439+PL!T449</f>
        <v/>
      </c>
      <c r="U164" s="2192">
        <f>PL!X439+PL!X449</f>
        <v/>
      </c>
      <c r="V164" s="2192">
        <f>PL!AB439+PL!AB449</f>
        <v/>
      </c>
      <c r="W164" s="2192">
        <f>PL!AF439+PL!AF449</f>
        <v/>
      </c>
      <c r="X164" s="2192">
        <f>PL!AJ439+PL!AJ449</f>
        <v/>
      </c>
      <c r="Y164" s="2192">
        <f>PL!AN439+PL!AN449</f>
        <v/>
      </c>
      <c r="Z164" s="2192">
        <f>PL!AR439+PL!AR449</f>
        <v/>
      </c>
      <c r="AA164" s="2193">
        <f>PL!AV439+PL!AV449</f>
        <v/>
      </c>
      <c r="AB164" s="2187" t="n"/>
      <c r="AC164" s="2188" t="n"/>
      <c r="AD164" s="2189" t="n"/>
      <c r="AE164" s="2189" t="n"/>
      <c r="AF164" s="2286" t="n"/>
      <c r="AG164" s="2189" t="n"/>
      <c r="AH164" s="2189" t="n"/>
      <c r="AI164" s="2189" t="n"/>
      <c r="AJ164" s="2189" t="n"/>
      <c r="AK164" s="2189" t="n"/>
      <c r="AL164" s="2189" t="n"/>
      <c r="AM164" s="2189" t="n"/>
      <c r="AN164" s="2190" t="n"/>
      <c r="AO164" s="2187" t="n"/>
      <c r="AP164" s="554" t="n"/>
    </row>
    <row r="165" spans="1:44">
      <c r="A165" s="2255" t="s">
        <v>160</v>
      </c>
      <c r="B165" s="2187" t="n"/>
      <c r="C165" s="2188" t="n"/>
      <c r="D165" s="2189" t="n"/>
      <c r="E165" s="2189" t="n"/>
      <c r="F165" s="2286" t="n"/>
      <c r="G165" s="2189" t="n"/>
      <c r="H165" s="2189" t="n"/>
      <c r="I165" s="2287" t="n"/>
      <c r="J165" s="2287" t="n"/>
      <c r="K165" s="2287" t="n"/>
      <c r="L165" s="2287" t="n"/>
      <c r="M165" s="2287" t="n"/>
      <c r="N165" s="2289" t="n"/>
      <c r="O165" s="2187" t="n"/>
      <c r="P165" s="2191">
        <f>PL!D447+PL!D448</f>
        <v/>
      </c>
      <c r="Q165" s="2192">
        <f>PL!H447+PL!H448</f>
        <v/>
      </c>
      <c r="R165" s="2192">
        <f>PL!L447+PL!L448</f>
        <v/>
      </c>
      <c r="S165" s="2192">
        <f>PL!P447+PL!P448</f>
        <v/>
      </c>
      <c r="T165" s="2192">
        <f>PL!T447+PL!T448</f>
        <v/>
      </c>
      <c r="U165" s="2192">
        <f>PL!X447+PL!X448</f>
        <v/>
      </c>
      <c r="V165" s="2192">
        <f>PL!AB447+PL!AB448</f>
        <v/>
      </c>
      <c r="W165" s="2192">
        <f>PL!AF447+PL!AF448</f>
        <v/>
      </c>
      <c r="X165" s="2192">
        <f>PL!AJ447+PL!AJ448</f>
        <v/>
      </c>
      <c r="Y165" s="2192">
        <f>PL!AN447+PL!AN448</f>
        <v/>
      </c>
      <c r="Z165" s="2192">
        <f>PL!AR447+PL!AR448</f>
        <v/>
      </c>
      <c r="AA165" s="2193">
        <f>PL!AV447+PL!AV448</f>
        <v/>
      </c>
      <c r="AB165" s="2187" t="n"/>
      <c r="AC165" s="2188" t="n"/>
      <c r="AD165" s="2189" t="n"/>
      <c r="AE165" s="2189" t="n"/>
      <c r="AF165" s="2286" t="n"/>
      <c r="AG165" s="2189" t="n"/>
      <c r="AH165" s="2189" t="n"/>
      <c r="AI165" s="2287" t="n"/>
      <c r="AJ165" s="2287" t="n"/>
      <c r="AK165" s="2287" t="n"/>
      <c r="AL165" s="2287" t="n"/>
      <c r="AM165" s="2287" t="n"/>
      <c r="AN165" s="2289" t="n"/>
      <c r="AO165" s="2187" t="n"/>
      <c r="AP165" s="554" t="n"/>
    </row>
    <row r="166" spans="1:44">
      <c r="A166" s="2255" t="s">
        <v>161</v>
      </c>
      <c r="B166" s="2187" t="n"/>
      <c r="C166" s="2188" t="n"/>
      <c r="D166" s="2189" t="n"/>
      <c r="E166" s="2189" t="n"/>
      <c r="F166" s="2286" t="n"/>
      <c r="G166" s="2189" t="n"/>
      <c r="H166" s="2189" t="n"/>
      <c r="I166" s="2189" t="n"/>
      <c r="J166" s="2189" t="n"/>
      <c r="K166" s="2189" t="n"/>
      <c r="L166" s="2189" t="n"/>
      <c r="M166" s="2189" t="n"/>
      <c r="N166" s="2190" t="n"/>
      <c r="O166" s="2187" t="n"/>
      <c r="P166" s="2191">
        <f>PL!D445</f>
        <v/>
      </c>
      <c r="Q166" s="2192">
        <f>PL!H445</f>
        <v/>
      </c>
      <c r="R166" s="2192">
        <f>PL!L445</f>
        <v/>
      </c>
      <c r="S166" s="2192">
        <f>PL!P445</f>
        <v/>
      </c>
      <c r="T166" s="2192">
        <f>PL!T445</f>
        <v/>
      </c>
      <c r="U166" s="2192">
        <f>PL!X445</f>
        <v/>
      </c>
      <c r="V166" s="2192">
        <f>PL!AB445</f>
        <v/>
      </c>
      <c r="W166" s="2192">
        <f>PL!AF445</f>
        <v/>
      </c>
      <c r="X166" s="2192">
        <f>PL!AJ445</f>
        <v/>
      </c>
      <c r="Y166" s="2192">
        <f>PL!AN445</f>
        <v/>
      </c>
      <c r="Z166" s="2192">
        <f>PL!AR445</f>
        <v/>
      </c>
      <c r="AA166" s="2193">
        <f>PL!AV445</f>
        <v/>
      </c>
      <c r="AB166" s="2187" t="n"/>
      <c r="AC166" s="2188" t="n"/>
      <c r="AD166" s="2189" t="n"/>
      <c r="AE166" s="2189" t="n"/>
      <c r="AF166" s="2286" t="n"/>
      <c r="AG166" s="2189" t="n"/>
      <c r="AH166" s="2189" t="n"/>
      <c r="AI166" s="2189" t="n"/>
      <c r="AJ166" s="2189" t="n"/>
      <c r="AK166" s="2189" t="n"/>
      <c r="AL166" s="2189" t="n"/>
      <c r="AM166" s="2189" t="n"/>
      <c r="AN166" s="2190" t="n"/>
      <c r="AO166" s="2187" t="n"/>
      <c r="AP166" s="554" t="n"/>
    </row>
    <row r="167" spans="1:44">
      <c r="A167" s="2255" t="s">
        <v>162</v>
      </c>
      <c r="B167" s="2187" t="n"/>
      <c r="C167" s="2188" t="n"/>
      <c r="D167" s="2189" t="n"/>
      <c r="E167" s="2189" t="n"/>
      <c r="F167" s="2286" t="n"/>
      <c r="G167" s="2189" t="n"/>
      <c r="H167" s="2189" t="n"/>
      <c r="I167" s="2287" t="n"/>
      <c r="J167" s="2287" t="n"/>
      <c r="K167" s="2287" t="n"/>
      <c r="L167" s="2287" t="n"/>
      <c r="M167" s="2287" t="n"/>
      <c r="N167" s="2190" t="n"/>
      <c r="O167" s="2187" t="n"/>
      <c r="P167" s="2191">
        <f>PL!D446</f>
        <v/>
      </c>
      <c r="Q167" s="2192">
        <f>PL!H446</f>
        <v/>
      </c>
      <c r="R167" s="2192">
        <f>PL!L446</f>
        <v/>
      </c>
      <c r="S167" s="2192">
        <f>PL!P446</f>
        <v/>
      </c>
      <c r="T167" s="2192">
        <f>PL!T446</f>
        <v/>
      </c>
      <c r="U167" s="2192">
        <f>PL!X446</f>
        <v/>
      </c>
      <c r="V167" s="2192">
        <f>PL!AB446</f>
        <v/>
      </c>
      <c r="W167" s="2192">
        <f>PL!AF446</f>
        <v/>
      </c>
      <c r="X167" s="2192">
        <f>PL!AJ446</f>
        <v/>
      </c>
      <c r="Y167" s="2192">
        <f>PL!AN446</f>
        <v/>
      </c>
      <c r="Z167" s="2192">
        <f>PL!AR446</f>
        <v/>
      </c>
      <c r="AA167" s="2193">
        <f>PL!AV446</f>
        <v/>
      </c>
      <c r="AB167" s="2187" t="n"/>
      <c r="AC167" s="2188" t="n"/>
      <c r="AD167" s="2189" t="n"/>
      <c r="AE167" s="2189" t="n"/>
      <c r="AF167" s="2286" t="n"/>
      <c r="AG167" s="2189" t="n"/>
      <c r="AH167" s="2189" t="n"/>
      <c r="AI167" s="2287" t="n"/>
      <c r="AJ167" s="2287" t="n"/>
      <c r="AK167" s="2287" t="n"/>
      <c r="AL167" s="2287" t="n"/>
      <c r="AM167" s="2287" t="n"/>
      <c r="AN167" s="2190" t="n"/>
      <c r="AO167" s="2187" t="n"/>
      <c r="AP167" s="554" t="n"/>
    </row>
    <row r="168" spans="1:44">
      <c r="A168" s="2255" t="s">
        <v>163</v>
      </c>
      <c r="B168" s="2187" t="n"/>
      <c r="C168" s="2188" t="n"/>
      <c r="D168" s="2189" t="n"/>
      <c r="E168" s="2189" t="n"/>
      <c r="F168" s="2286" t="n"/>
      <c r="G168" s="2189" t="n"/>
      <c r="H168" s="2189" t="n"/>
      <c r="I168" s="2189" t="n"/>
      <c r="J168" s="2189" t="n"/>
      <c r="K168" s="2189" t="n"/>
      <c r="L168" s="2189" t="n"/>
      <c r="M168" s="2189" t="n"/>
      <c r="N168" s="2190" t="n"/>
      <c r="O168" s="2187" t="n"/>
      <c r="P168" s="2191">
        <f>PL!D442</f>
        <v/>
      </c>
      <c r="Q168" s="2192">
        <f>PL!H442</f>
        <v/>
      </c>
      <c r="R168" s="2192">
        <f>PL!L442</f>
        <v/>
      </c>
      <c r="S168" s="2192">
        <f>PL!P442</f>
        <v/>
      </c>
      <c r="T168" s="2192">
        <f>PL!T442</f>
        <v/>
      </c>
      <c r="U168" s="2192">
        <f>PL!X442</f>
        <v/>
      </c>
      <c r="V168" s="2192">
        <f>PL!AB442</f>
        <v/>
      </c>
      <c r="W168" s="2192">
        <f>PL!AF442</f>
        <v/>
      </c>
      <c r="X168" s="2192">
        <f>PL!AJ442</f>
        <v/>
      </c>
      <c r="Y168" s="2192">
        <f>PL!AN442</f>
        <v/>
      </c>
      <c r="Z168" s="2192">
        <f>PL!AR442</f>
        <v/>
      </c>
      <c r="AA168" s="2193">
        <f>PL!AV442</f>
        <v/>
      </c>
      <c r="AB168" s="2187" t="n"/>
      <c r="AC168" s="2188" t="n"/>
      <c r="AD168" s="2189" t="n"/>
      <c r="AE168" s="2230" t="n"/>
      <c r="AF168" s="2286" t="n"/>
      <c r="AG168" s="2189" t="n"/>
      <c r="AH168" s="2189" t="n"/>
      <c r="AI168" s="2189" t="n"/>
      <c r="AJ168" s="2189" t="n"/>
      <c r="AK168" s="2189" t="n"/>
      <c r="AL168" s="2189" t="n"/>
      <c r="AM168" s="2189" t="n"/>
      <c r="AN168" s="2190" t="n"/>
      <c r="AO168" s="2187" t="n"/>
      <c r="AP168" s="554" t="n"/>
    </row>
    <row r="169" spans="1:44">
      <c r="A169" s="2255" t="s">
        <v>164</v>
      </c>
      <c r="B169" s="2187" t="n"/>
      <c r="C169" s="2313" t="n"/>
      <c r="D169" s="2189" t="n"/>
      <c r="E169" s="2189" t="n"/>
      <c r="F169" s="2286" t="n"/>
      <c r="G169" s="2189" t="n"/>
      <c r="H169" s="2189" t="n"/>
      <c r="I169" s="2314" t="n"/>
      <c r="J169" s="2314" t="n"/>
      <c r="K169" s="2314" t="n"/>
      <c r="L169" s="2314" t="n"/>
      <c r="M169" s="2314" t="n"/>
      <c r="N169" s="2315" t="n"/>
      <c r="O169" s="2187" t="n"/>
      <c r="P169" s="2191">
        <f>PL!D438+PL!D441+PL!D443</f>
        <v/>
      </c>
      <c r="Q169" s="2192">
        <f>PL!H438+PL!H441+PL!H443</f>
        <v/>
      </c>
      <c r="R169" s="2192">
        <f>PL!L438+PL!L441+PL!L443</f>
        <v/>
      </c>
      <c r="S169" s="2192">
        <f>PL!P438+PL!P441+PL!P443</f>
        <v/>
      </c>
      <c r="T169" s="2192">
        <f>PL!T438+PL!T441+PL!T443</f>
        <v/>
      </c>
      <c r="U169" s="2192">
        <f>PL!X438+PL!X441+PL!X443</f>
        <v/>
      </c>
      <c r="V169" s="2192">
        <f>PL!AB438+PL!AB441+PL!AB443</f>
        <v/>
      </c>
      <c r="W169" s="2192">
        <f>PL!AF438+PL!AF441+PL!AF443</f>
        <v/>
      </c>
      <c r="X169" s="2192">
        <f>PL!AJ438+PL!AJ441+PL!AJ443</f>
        <v/>
      </c>
      <c r="Y169" s="2192">
        <f>PL!AN438+PL!AN441+PL!AN443</f>
        <v/>
      </c>
      <c r="Z169" s="2192">
        <f>PL!AR438+PL!AR441+PL!AR443</f>
        <v/>
      </c>
      <c r="AA169" s="2193">
        <f>PL!AV438+PL!AV441+PL!AV443</f>
        <v/>
      </c>
      <c r="AB169" s="2187" t="n"/>
      <c r="AC169" s="2188" t="n"/>
      <c r="AD169" s="2189" t="n"/>
      <c r="AE169" s="2189" t="n"/>
      <c r="AF169" s="2286" t="n"/>
      <c r="AG169" s="2189" t="n"/>
      <c r="AH169" s="2189" t="n"/>
      <c r="AI169" s="2314" t="n"/>
      <c r="AJ169" s="2314" t="n"/>
      <c r="AK169" s="2314" t="n"/>
      <c r="AL169" s="2314" t="n"/>
      <c r="AM169" s="2314" t="n"/>
      <c r="AN169" s="2315" t="n"/>
      <c r="AO169" s="2187" t="n"/>
      <c r="AP169" s="554" t="n"/>
    </row>
    <row r="170" spans="1:44">
      <c r="A170" s="2256" t="s">
        <v>165</v>
      </c>
      <c r="B170" s="2195" t="n"/>
      <c r="C170" s="2318" t="n"/>
      <c r="D170" s="2319" t="n"/>
      <c r="E170" s="2319" t="n"/>
      <c r="F170" s="2320" t="n"/>
      <c r="G170" s="2319" t="n"/>
      <c r="H170" s="2319" t="n"/>
      <c r="I170" s="2319" t="n"/>
      <c r="J170" s="2197" t="n"/>
      <c r="K170" s="2320" t="n"/>
      <c r="L170" s="2319" t="n"/>
      <c r="M170" s="2197" t="n"/>
      <c r="N170" s="2343" t="n"/>
      <c r="O170" s="2195" t="n"/>
      <c r="P170" s="2199">
        <f>PL!D451+PL!D452+PL!D453</f>
        <v/>
      </c>
      <c r="Q170" s="2200">
        <f>PL!H451+PL!H452+PL!H453</f>
        <v/>
      </c>
      <c r="R170" s="2200">
        <f>PL!L451+PL!L452+PL!L453</f>
        <v/>
      </c>
      <c r="S170" s="2200">
        <f>PL!P451+PL!P452+PL!P453</f>
        <v/>
      </c>
      <c r="T170" s="2200">
        <f>PL!T451+PL!T452+PL!T453</f>
        <v/>
      </c>
      <c r="U170" s="2200">
        <f>PL!X451+PL!X452+PL!X453</f>
        <v/>
      </c>
      <c r="V170" s="2200">
        <f>PL!AB451+PL!AB452+PL!AB453</f>
        <v/>
      </c>
      <c r="W170" s="2200">
        <f>PL!AF451+PL!AF452+PL!AF453</f>
        <v/>
      </c>
      <c r="X170" s="2200">
        <f>PL!AJ451+PL!AJ452+PL!AJ453</f>
        <v/>
      </c>
      <c r="Y170" s="2200">
        <f>PL!AN451+PL!AN452+PL!AN453</f>
        <v/>
      </c>
      <c r="Z170" s="2200">
        <f>PL!AR451+PL!AR452+PL!AR453</f>
        <v/>
      </c>
      <c r="AA170" s="2201">
        <f>PL!AV451+PL!AV452+PL!AV453</f>
        <v/>
      </c>
      <c r="AB170" s="2195" t="n"/>
      <c r="AC170" s="2196" t="n"/>
      <c r="AD170" s="2197" t="n"/>
      <c r="AE170" s="2197" t="n"/>
      <c r="AF170" s="2320" t="n"/>
      <c r="AG170" s="2319" t="n"/>
      <c r="AH170" s="2319" t="n"/>
      <c r="AI170" s="2319" t="n"/>
      <c r="AJ170" s="2197" t="n"/>
      <c r="AK170" s="2320" t="n"/>
      <c r="AL170" s="2319" t="n"/>
      <c r="AM170" s="2197" t="n"/>
      <c r="AN170" s="2343" t="n"/>
      <c r="AO170" s="2187" t="n"/>
      <c r="AP170" s="554" t="n"/>
    </row>
    <row r="171" spans="1:44">
      <c r="A171" s="2255" t="s">
        <v>89</v>
      </c>
      <c r="B171" s="2187" t="n"/>
      <c r="C171" s="2257">
        <f>PL!C454</f>
        <v/>
      </c>
      <c r="D171" s="2234">
        <f>PL!G454</f>
        <v/>
      </c>
      <c r="E171" s="2258">
        <f>PL!K454</f>
        <v/>
      </c>
      <c r="F171" s="2234">
        <f>PL!O454</f>
        <v/>
      </c>
      <c r="G171" s="2326">
        <f>PL!S454</f>
        <v/>
      </c>
      <c r="H171" s="2234">
        <f>PL!W454</f>
        <v/>
      </c>
      <c r="I171" s="2235">
        <f>PL!AA454</f>
        <v/>
      </c>
      <c r="J171" s="2235">
        <f>PL!AE454</f>
        <v/>
      </c>
      <c r="K171" s="2234">
        <f>PL!AI454</f>
        <v/>
      </c>
      <c r="L171" s="2234">
        <f>PL!AM454</f>
        <v/>
      </c>
      <c r="M171" s="2234">
        <f>PL!AQ454</f>
        <v/>
      </c>
      <c r="N171" s="2327">
        <f>PL!AU454</f>
        <v/>
      </c>
      <c r="O171" s="2187" t="n"/>
      <c r="P171" s="2234" t="n"/>
      <c r="Q171" s="2358" t="n"/>
      <c r="R171" s="2359" t="n"/>
      <c r="S171" s="2235" t="n"/>
      <c r="T171" s="2358" t="n"/>
      <c r="U171" s="2359" t="n"/>
      <c r="V171" s="2235" t="n"/>
      <c r="W171" s="2235" t="n"/>
      <c r="X171" s="2234" t="n"/>
      <c r="Y171" s="2234" t="n"/>
      <c r="Z171" s="2234" t="n"/>
      <c r="AA171" s="2327" t="n"/>
      <c r="AB171" s="2187" t="n"/>
      <c r="AC171" s="2234" t="n"/>
      <c r="AD171" s="2234" t="n"/>
      <c r="AE171" s="2234" t="n"/>
      <c r="AF171" s="2235" t="n"/>
      <c r="AG171" s="2234" t="n"/>
      <c r="AH171" s="2234" t="n"/>
      <c r="AI171" s="2234" t="n"/>
      <c r="AJ171" s="2234" t="n"/>
      <c r="AK171" s="2234" t="n"/>
      <c r="AL171" s="2234" t="n"/>
      <c r="AM171" s="2234" t="n"/>
      <c r="AN171" s="2234" t="n"/>
      <c r="AO171" s="2187" t="n"/>
      <c r="AP171" s="2173" t="n"/>
    </row>
    <row r="172" spans="1:44">
      <c r="A172" s="2265">
        <f>A134</f>
        <v/>
      </c>
      <c r="B172" s="2187" t="n"/>
      <c r="C172" s="2188" t="n"/>
      <c r="D172" s="2189" t="n"/>
      <c r="E172" s="2189" t="n"/>
      <c r="F172" s="2286" t="n"/>
      <c r="G172" s="2189" t="n"/>
      <c r="H172" s="2189" t="n"/>
      <c r="I172" s="2189" t="n"/>
      <c r="J172" s="2189" t="n"/>
      <c r="K172" s="2189" t="n"/>
      <c r="L172" s="2189" t="n"/>
      <c r="M172" s="2189" t="n"/>
      <c r="N172" s="2190" t="n"/>
      <c r="O172" s="2187" t="n"/>
      <c r="P172" s="2188" t="n"/>
      <c r="Q172" s="2189" t="n"/>
      <c r="R172" s="2189" t="n"/>
      <c r="S172" s="2286" t="n"/>
      <c r="T172" s="2189" t="n"/>
      <c r="U172" s="2189" t="n"/>
      <c r="V172" s="2189" t="n"/>
      <c r="W172" s="2189" t="n"/>
      <c r="X172" s="2189" t="n"/>
      <c r="Y172" s="2189" t="n"/>
      <c r="Z172" s="2189" t="n"/>
      <c r="AA172" s="2190" t="n"/>
      <c r="AB172" s="2187" t="n"/>
      <c r="AC172" s="2188">
        <f>SUM(C161:C172)-SUM(P161:P172)</f>
        <v/>
      </c>
      <c r="AD172" s="2189">
        <f>SUM(D161:D172)-SUM(Q161:Q172)</f>
        <v/>
      </c>
      <c r="AE172" s="2189">
        <f>SUM(E161:E172)-SUM(R161:R172)</f>
        <v/>
      </c>
      <c r="AF172" s="2189">
        <f>SUM(F161:F172)-SUM(S161:S172)</f>
        <v/>
      </c>
      <c r="AG172" s="2189">
        <f>SUM(G161:G172)-SUM(T161:T172)</f>
        <v/>
      </c>
      <c r="AH172" s="2189">
        <f>SUM(H161:H172)-SUM(U161:U172)</f>
        <v/>
      </c>
      <c r="AI172" s="2189">
        <f>SUM(I161:I172)-SUM(V161:V172)</f>
        <v/>
      </c>
      <c r="AJ172" s="2189">
        <f>SUM(J161:J172)-SUM(W161:W172)</f>
        <v/>
      </c>
      <c r="AK172" s="2189">
        <f>SUM(K161:K172)-SUM(X161:X172)</f>
        <v/>
      </c>
      <c r="AL172" s="2189">
        <f>SUM(L161:L172)-SUM(Y161:Y172)</f>
        <v/>
      </c>
      <c r="AM172" s="2189">
        <f>SUM(M161:M172)-SUM(Z161:Z172)</f>
        <v/>
      </c>
      <c r="AN172" s="2353">
        <f>SUM(N161:N172)-SUM(AA161:AA172)</f>
        <v/>
      </c>
      <c r="AO172" s="2187" t="n"/>
      <c r="AP172" s="2173" t="n"/>
    </row>
    <row r="173" spans="1:44">
      <c r="A173" s="2204" t="s">
        <v>182</v>
      </c>
      <c r="B173" s="2187" t="n"/>
      <c r="C173" s="2205" t="n"/>
      <c r="D173" s="2206" t="n"/>
      <c r="E173" s="2206" t="n"/>
      <c r="F173" s="2286" t="n"/>
      <c r="G173" s="2189" t="n"/>
      <c r="H173" s="2189" t="n"/>
      <c r="I173" s="2189" t="n"/>
      <c r="J173" s="2189" t="n"/>
      <c r="K173" s="2189" t="n"/>
      <c r="L173" s="2189" t="n"/>
      <c r="M173" s="2189" t="n"/>
      <c r="N173" s="2190" t="n"/>
      <c r="O173" s="2187" t="n"/>
      <c r="P173" s="2205" t="n"/>
      <c r="Q173" s="2206" t="n"/>
      <c r="R173" s="2206" t="n"/>
      <c r="S173" s="2286" t="n"/>
      <c r="T173" s="2189" t="n"/>
      <c r="U173" s="2189" t="n"/>
      <c r="V173" s="2189" t="n"/>
      <c r="W173" s="2189" t="n"/>
      <c r="X173" s="2189" t="n"/>
      <c r="Y173" s="2189" t="n"/>
      <c r="Z173" s="2189" t="n"/>
      <c r="AA173" s="2190" t="n"/>
      <c r="AB173" s="2187" t="n"/>
      <c r="AC173" s="632">
        <f>AC174/C174</f>
        <v/>
      </c>
      <c r="AD173" s="633">
        <f>AD174/D174</f>
        <v/>
      </c>
      <c r="AE173" s="629">
        <f>AE174/E174</f>
        <v/>
      </c>
      <c r="AF173" s="629">
        <f>AF174/F174</f>
        <v/>
      </c>
      <c r="AG173" s="629">
        <f>AG174/G174</f>
        <v/>
      </c>
      <c r="AH173" s="629">
        <f>AH174/H174</f>
        <v/>
      </c>
      <c r="AI173" s="629">
        <f>AI174/I174</f>
        <v/>
      </c>
      <c r="AJ173" s="629">
        <f>AJ174/J174</f>
        <v/>
      </c>
      <c r="AK173" s="629">
        <f>AK174/K174</f>
        <v/>
      </c>
      <c r="AL173" s="629">
        <f>AL174/L174</f>
        <v/>
      </c>
      <c r="AM173" s="629">
        <f>AM174/M174</f>
        <v/>
      </c>
      <c r="AN173" s="720">
        <f>AN174/N174</f>
        <v/>
      </c>
      <c r="AO173" s="2187" t="n"/>
      <c r="AP173" s="2173" t="n"/>
    </row>
    <row customHeight="1" ht="18" r="174" s="1843" spans="1:44" thickBot="1">
      <c r="A174" s="2266" t="s">
        <v>173</v>
      </c>
      <c r="B174" s="2240" t="n"/>
      <c r="C174" s="2244">
        <f>SUM(C161:C172)</f>
        <v/>
      </c>
      <c r="D174" s="2245">
        <f>SUM(D161:D172)</f>
        <v/>
      </c>
      <c r="E174" s="2242">
        <f>SUM(E161:E172)</f>
        <v/>
      </c>
      <c r="F174" s="2242">
        <f>SUM(F161:F172)</f>
        <v/>
      </c>
      <c r="G174" s="2242">
        <f>SUM(G161:G172)</f>
        <v/>
      </c>
      <c r="H174" s="2242">
        <f>SUM(H161:H172)</f>
        <v/>
      </c>
      <c r="I174" s="2242">
        <f>SUM(I161:I172)</f>
        <v/>
      </c>
      <c r="J174" s="2242">
        <f>SUM(J161:J172)</f>
        <v/>
      </c>
      <c r="K174" s="2242">
        <f>SUM(K161:K172)</f>
        <v/>
      </c>
      <c r="L174" s="2242">
        <f>SUM(L161:L172)</f>
        <v/>
      </c>
      <c r="M174" s="2242">
        <f>SUM(M161:M172)</f>
        <v/>
      </c>
      <c r="N174" s="2242">
        <f>SUM(N161:N172)</f>
        <v/>
      </c>
      <c r="O174" s="2240" t="n"/>
      <c r="P174" s="2244">
        <f>SUM(P161:P172)</f>
        <v/>
      </c>
      <c r="Q174" s="2245">
        <f>SUM(Q161:Q172)</f>
        <v/>
      </c>
      <c r="R174" s="2354">
        <f>SUM(R161:R172)</f>
        <v/>
      </c>
      <c r="S174" s="2354">
        <f>SUM(S161:S172)</f>
        <v/>
      </c>
      <c r="T174" s="2354">
        <f>SUM(T161:T172)</f>
        <v/>
      </c>
      <c r="U174" s="2355">
        <f>SUM(U161:U172)</f>
        <v/>
      </c>
      <c r="V174" s="2356">
        <f>SUM(V161:V172)</f>
        <v/>
      </c>
      <c r="W174" s="2356">
        <f>SUM(W161:W172)</f>
        <v/>
      </c>
      <c r="X174" s="2356">
        <f>SUM(X161:X172)</f>
        <v/>
      </c>
      <c r="Y174" s="2356">
        <f>SUM(Y161:Y172)</f>
        <v/>
      </c>
      <c r="Z174" s="2354">
        <f>SUM(Z161:Z172)</f>
        <v/>
      </c>
      <c r="AA174" s="2357">
        <f>SUM(AA161:AA172)</f>
        <v/>
      </c>
      <c r="AB174" s="2240" t="n"/>
      <c r="AC174" s="2244">
        <f>SUM(AC161:AC172)</f>
        <v/>
      </c>
      <c r="AD174" s="2245">
        <f>SUM(AD161:AD172)</f>
        <v/>
      </c>
      <c r="AE174" s="2354">
        <f>SUM(AE161:AE172)</f>
        <v/>
      </c>
      <c r="AF174" s="2354">
        <f>SUM(AF161:AF172)</f>
        <v/>
      </c>
      <c r="AG174" s="2354">
        <f>SUM(AG161:AG172)</f>
        <v/>
      </c>
      <c r="AH174" s="2355">
        <f>SUM(AH161:AH172)</f>
        <v/>
      </c>
      <c r="AI174" s="2354">
        <f>SUM(AI161:AI172)</f>
        <v/>
      </c>
      <c r="AJ174" s="2354">
        <f>SUM(AJ161:AJ172)</f>
        <v/>
      </c>
      <c r="AK174" s="2354">
        <f>SUM(AK161:AK172)</f>
        <v/>
      </c>
      <c r="AL174" s="2354">
        <f>SUM(AL161:AL172)</f>
        <v/>
      </c>
      <c r="AM174" s="2354">
        <f>SUM(AM161:AM172)</f>
        <v/>
      </c>
      <c r="AN174" s="2357">
        <f>SUM(AN161:AN172)</f>
        <v/>
      </c>
      <c r="AO174" s="2240" t="n"/>
      <c r="AP174" s="613" t="n"/>
    </row>
    <row customHeight="1" ht="18" r="199" s="1843" spans="1:44" thickBot="1"/>
    <row customHeight="1" ht="18" r="200" s="1843" spans="1:44">
      <c r="A200" s="2346" t="s">
        <v>180</v>
      </c>
      <c r="B200" s="2177" t="n"/>
      <c r="C200" s="2347">
        <f>$C$2</f>
        <v/>
      </c>
      <c r="E200" s="2348" t="n"/>
      <c r="F200" s="2349" t="n"/>
      <c r="G200" s="2350" t="n"/>
      <c r="H200" s="2348" t="n"/>
      <c r="I200" s="2349" t="n"/>
      <c r="J200" s="2350" t="n"/>
      <c r="K200" s="2350" t="n"/>
      <c r="L200" s="2350" t="n"/>
      <c r="M200" s="2350" t="n"/>
      <c r="N200" s="2351" t="n"/>
      <c r="O200" s="2264" t="n"/>
      <c r="P200" s="2261">
        <f>$P$2</f>
        <v/>
      </c>
      <c r="Q200" s="2262" t="n"/>
      <c r="R200" s="2352" t="n"/>
      <c r="S200" s="2349" t="n"/>
      <c r="T200" s="2350" t="n"/>
      <c r="U200" s="2348" t="n"/>
      <c r="V200" s="2349" t="n"/>
      <c r="W200" s="2350" t="n"/>
      <c r="X200" s="2350" t="n"/>
      <c r="Y200" s="2350" t="n"/>
      <c r="Z200" s="2350" t="n"/>
      <c r="AA200" s="2351" t="n"/>
      <c r="AB200" s="2264" t="n"/>
      <c r="AC200" s="2261">
        <f>$AC$2</f>
        <v/>
      </c>
      <c r="AD200" s="2262" t="n"/>
      <c r="AE200" s="2348" t="n"/>
      <c r="AF200" s="2349" t="n"/>
      <c r="AG200" s="2350" t="n"/>
      <c r="AH200" s="2348" t="n"/>
      <c r="AI200" s="2349" t="n"/>
      <c r="AJ200" s="2350" t="n"/>
      <c r="AK200" s="2350" t="n"/>
      <c r="AL200" s="2350" t="n"/>
      <c r="AM200" s="2350" t="n"/>
      <c r="AN200" s="2351" t="n"/>
      <c r="AO200" s="2177" t="n"/>
      <c r="AP200" s="2216" t="n"/>
    </row>
    <row customHeight="1" ht="30.75" r="201" s="1843" spans="1:44">
      <c r="B201" s="2182" t="n"/>
      <c r="C201" s="2183" t="s">
        <v>62</v>
      </c>
      <c r="D201" s="2184" t="s">
        <v>63</v>
      </c>
      <c r="E201" s="2281" t="s">
        <v>64</v>
      </c>
      <c r="F201" s="2282" t="s">
        <v>174</v>
      </c>
      <c r="G201" s="2184" t="s">
        <v>66</v>
      </c>
      <c r="H201" s="2281" t="s">
        <v>67</v>
      </c>
      <c r="I201" s="2282" t="s">
        <v>69</v>
      </c>
      <c r="J201" s="2184" t="s">
        <v>70</v>
      </c>
      <c r="K201" s="2281" t="s">
        <v>71</v>
      </c>
      <c r="L201" s="2283" t="s">
        <v>72</v>
      </c>
      <c r="M201" s="2184" t="s">
        <v>73</v>
      </c>
      <c r="N201" s="2284" t="s">
        <v>74</v>
      </c>
      <c r="O201" s="2182" t="n"/>
      <c r="P201" s="2183">
        <f>C201</f>
        <v/>
      </c>
      <c r="Q201" s="2184">
        <f>D201</f>
        <v/>
      </c>
      <c r="R201" s="2281">
        <f>E201</f>
        <v/>
      </c>
      <c r="S201" s="2282" t="s">
        <v>174</v>
      </c>
      <c r="T201" s="2184" t="s">
        <v>66</v>
      </c>
      <c r="U201" s="2281" t="s">
        <v>67</v>
      </c>
      <c r="V201" s="2282" t="s">
        <v>69</v>
      </c>
      <c r="W201" s="2184" t="s">
        <v>70</v>
      </c>
      <c r="X201" s="2281" t="s">
        <v>71</v>
      </c>
      <c r="Y201" s="2283" t="s">
        <v>72</v>
      </c>
      <c r="Z201" s="2184" t="s">
        <v>73</v>
      </c>
      <c r="AA201" s="2284" t="s">
        <v>74</v>
      </c>
      <c r="AB201" s="2182" t="n"/>
      <c r="AC201" s="2183">
        <f>C201</f>
        <v/>
      </c>
      <c r="AD201" s="2184">
        <f>D201</f>
        <v/>
      </c>
      <c r="AE201" s="2281">
        <f>E201</f>
        <v/>
      </c>
      <c r="AF201" s="2282" t="s">
        <v>174</v>
      </c>
      <c r="AG201" s="2184" t="s">
        <v>66</v>
      </c>
      <c r="AH201" s="2281" t="s">
        <v>67</v>
      </c>
      <c r="AI201" s="2282" t="s">
        <v>69</v>
      </c>
      <c r="AJ201" s="2184" t="s">
        <v>70</v>
      </c>
      <c r="AK201" s="2281" t="s">
        <v>71</v>
      </c>
      <c r="AL201" s="2283" t="s">
        <v>72</v>
      </c>
      <c r="AM201" s="2184" t="s">
        <v>73</v>
      </c>
      <c r="AN201" s="2284" t="s">
        <v>74</v>
      </c>
      <c r="AO201" s="2182" t="n"/>
      <c r="AP201" s="2226" t="n"/>
    </row>
    <row r="202" spans="1:44">
      <c r="A202" s="2255" t="s">
        <v>156</v>
      </c>
      <c r="B202" s="2187" t="n"/>
      <c r="C202" s="2188" t="n"/>
      <c r="D202" s="2189" t="n"/>
      <c r="E202" s="2189" t="n"/>
      <c r="F202" s="2286" t="n"/>
      <c r="G202" s="2189" t="n"/>
      <c r="H202" s="2189" t="n"/>
      <c r="I202" s="2206" t="n"/>
      <c r="J202" s="2206" t="n"/>
      <c r="K202" s="2287" t="n"/>
      <c r="L202" s="2287" t="n"/>
      <c r="M202" s="2287" t="n"/>
      <c r="N202" s="2288" t="n"/>
      <c r="O202" s="2187" t="n"/>
      <c r="P202" s="2191">
        <f>PL!D316</f>
        <v/>
      </c>
      <c r="Q202" s="2192">
        <f>PL!H316</f>
        <v/>
      </c>
      <c r="R202" s="2192">
        <f>PL!L316</f>
        <v/>
      </c>
      <c r="S202" s="2192">
        <f>PL!P316</f>
        <v/>
      </c>
      <c r="T202" s="2192">
        <f>PL!T316</f>
        <v/>
      </c>
      <c r="U202" s="2192">
        <f>PL!X316</f>
        <v/>
      </c>
      <c r="V202" s="2192">
        <f>PL!AB316</f>
        <v/>
      </c>
      <c r="W202" s="2192">
        <f>PL!AF316</f>
        <v/>
      </c>
      <c r="X202" s="2192">
        <f>PL!AJ316</f>
        <v/>
      </c>
      <c r="Y202" s="2192">
        <f>PL!AN316</f>
        <v/>
      </c>
      <c r="Z202" s="2192">
        <f>PL!AR316</f>
        <v/>
      </c>
      <c r="AA202" s="2145">
        <f>PL!AV316</f>
        <v/>
      </c>
      <c r="AB202" s="2187" t="n"/>
      <c r="AC202" s="2188" t="n"/>
      <c r="AD202" s="2189" t="n"/>
      <c r="AE202" s="2189" t="n"/>
      <c r="AF202" s="2286" t="n"/>
      <c r="AG202" s="2189" t="n"/>
      <c r="AH202" s="2189" t="n"/>
      <c r="AI202" s="2206" t="n"/>
      <c r="AJ202" s="2206" t="n"/>
      <c r="AK202" s="2287" t="n"/>
      <c r="AL202" s="2287" t="n"/>
      <c r="AM202" s="2287" t="n"/>
      <c r="AN202" s="2288" t="n"/>
      <c r="AO202" s="2187" t="n"/>
      <c r="AP202" s="554" t="n"/>
    </row>
    <row r="203" spans="1:44">
      <c r="A203" s="2255" t="s">
        <v>157</v>
      </c>
      <c r="B203" s="2187" t="n"/>
      <c r="C203" s="2188" t="n"/>
      <c r="D203" s="2189" t="n"/>
      <c r="E203" s="2189" t="n"/>
      <c r="F203" s="2286" t="n"/>
      <c r="G203" s="2189" t="n"/>
      <c r="H203" s="2189" t="n"/>
      <c r="I203" s="2189" t="n"/>
      <c r="J203" s="2189" t="n"/>
      <c r="K203" s="2189" t="n"/>
      <c r="L203" s="2189" t="n"/>
      <c r="M203" s="2189" t="n"/>
      <c r="N203" s="2190" t="n"/>
      <c r="O203" s="2187" t="n"/>
      <c r="P203" s="2191">
        <f>PL!D323</f>
        <v/>
      </c>
      <c r="Q203" s="2192">
        <f>PL!H323</f>
        <v/>
      </c>
      <c r="R203" s="2192">
        <f>PL!L323</f>
        <v/>
      </c>
      <c r="S203" s="2192">
        <f>PL!P323</f>
        <v/>
      </c>
      <c r="T203" s="2192">
        <f>PL!T323</f>
        <v/>
      </c>
      <c r="U203" s="2192">
        <f>PL!X323</f>
        <v/>
      </c>
      <c r="V203" s="2192">
        <f>PL!AB323</f>
        <v/>
      </c>
      <c r="W203" s="2192">
        <f>PL!AF323</f>
        <v/>
      </c>
      <c r="X203" s="2192">
        <f>PL!AJ323</f>
        <v/>
      </c>
      <c r="Y203" s="2192">
        <f>PL!AN323</f>
        <v/>
      </c>
      <c r="Z203" s="2192">
        <f>PL!AR323</f>
        <v/>
      </c>
      <c r="AA203" s="2145">
        <f>PL!AV323</f>
        <v/>
      </c>
      <c r="AB203" s="2187" t="n"/>
      <c r="AC203" s="2188" t="n"/>
      <c r="AD203" s="2189" t="n"/>
      <c r="AE203" s="2189" t="n"/>
      <c r="AF203" s="2286" t="n"/>
      <c r="AG203" s="2189" t="n"/>
      <c r="AH203" s="2189" t="n"/>
      <c r="AI203" s="2189" t="n"/>
      <c r="AJ203" s="2189" t="n"/>
      <c r="AK203" s="2189" t="n"/>
      <c r="AL203" s="2189" t="n"/>
      <c r="AM203" s="2189" t="n"/>
      <c r="AN203" s="2190" t="n"/>
      <c r="AO203" s="2187" t="n"/>
      <c r="AP203" s="554" t="n"/>
    </row>
    <row r="204" spans="1:44">
      <c r="A204" s="2255" t="s">
        <v>158</v>
      </c>
      <c r="B204" s="2187" t="n"/>
      <c r="C204" s="2188" t="n"/>
      <c r="D204" s="2189" t="n"/>
      <c r="E204" s="2189" t="n"/>
      <c r="F204" s="2286" t="n"/>
      <c r="G204" s="2189" t="n"/>
      <c r="H204" s="2189" t="n"/>
      <c r="I204" s="2287" t="n"/>
      <c r="J204" s="2287" t="n"/>
      <c r="K204" s="2287" t="n"/>
      <c r="L204" s="2287" t="n"/>
      <c r="M204" s="2287" t="n"/>
      <c r="N204" s="2289" t="n"/>
      <c r="O204" s="2187" t="n"/>
      <c r="P204" s="2191">
        <f>PL!D319</f>
        <v/>
      </c>
      <c r="Q204" s="2192">
        <f>PL!H319</f>
        <v/>
      </c>
      <c r="R204" s="2192">
        <f>PL!L319</f>
        <v/>
      </c>
      <c r="S204" s="2192">
        <f>PL!P319</f>
        <v/>
      </c>
      <c r="T204" s="2192">
        <f>PL!T319</f>
        <v/>
      </c>
      <c r="U204" s="2192">
        <f>PL!X319</f>
        <v/>
      </c>
      <c r="V204" s="2192">
        <f>PL!AB319</f>
        <v/>
      </c>
      <c r="W204" s="2192">
        <f>PL!AF319</f>
        <v/>
      </c>
      <c r="X204" s="2192">
        <f>PL!AJ319</f>
        <v/>
      </c>
      <c r="Y204" s="2192">
        <f>PL!AN319</f>
        <v/>
      </c>
      <c r="Z204" s="2192">
        <f>PL!AR319</f>
        <v/>
      </c>
      <c r="AA204" s="2145">
        <f>PL!AV319</f>
        <v/>
      </c>
      <c r="AB204" s="2187" t="n"/>
      <c r="AC204" s="2188" t="n"/>
      <c r="AD204" s="2189" t="n"/>
      <c r="AE204" s="2189" t="n"/>
      <c r="AF204" s="2286" t="n"/>
      <c r="AG204" s="2189" t="n"/>
      <c r="AH204" s="2189" t="n"/>
      <c r="AI204" s="2287" t="n"/>
      <c r="AJ204" s="2287" t="n"/>
      <c r="AK204" s="2287" t="n"/>
      <c r="AL204" s="2287" t="n"/>
      <c r="AM204" s="2287" t="n"/>
      <c r="AN204" s="2289" t="n"/>
      <c r="AO204" s="2187" t="n"/>
      <c r="AP204" s="554" t="n"/>
    </row>
    <row r="205" spans="1:44">
      <c r="A205" s="2255" t="s">
        <v>159</v>
      </c>
      <c r="B205" s="2187" t="n"/>
      <c r="C205" s="2188" t="n"/>
      <c r="D205" s="2189" t="n"/>
      <c r="E205" s="2189" t="n"/>
      <c r="F205" s="2286" t="n"/>
      <c r="G205" s="2189" t="n"/>
      <c r="H205" s="2189" t="n"/>
      <c r="I205" s="2189" t="n"/>
      <c r="J205" s="2189" t="n"/>
      <c r="K205" s="2189" t="n"/>
      <c r="L205" s="2189" t="n"/>
      <c r="M205" s="2189" t="n"/>
      <c r="N205" s="2190" t="n"/>
      <c r="O205" s="2187" t="n"/>
      <c r="P205" s="2191">
        <f>PL!D318</f>
        <v/>
      </c>
      <c r="Q205" s="2192">
        <f>PL!H318</f>
        <v/>
      </c>
      <c r="R205" s="2192">
        <f>PL!L318</f>
        <v/>
      </c>
      <c r="S205" s="2192">
        <f>PL!P318</f>
        <v/>
      </c>
      <c r="T205" s="2192">
        <f>PL!T318</f>
        <v/>
      </c>
      <c r="U205" s="2192">
        <f>PL!X318</f>
        <v/>
      </c>
      <c r="V205" s="2192">
        <f>PL!AB318</f>
        <v/>
      </c>
      <c r="W205" s="2192">
        <f>PL!AF318</f>
        <v/>
      </c>
      <c r="X205" s="2192">
        <f>PL!AJ318</f>
        <v/>
      </c>
      <c r="Y205" s="2192">
        <f>PL!AN318</f>
        <v/>
      </c>
      <c r="Z205" s="2192">
        <f>PL!AR318</f>
        <v/>
      </c>
      <c r="AA205" s="2145">
        <f>PL!AV318</f>
        <v/>
      </c>
      <c r="AB205" s="2187" t="n"/>
      <c r="AC205" s="2188" t="n"/>
      <c r="AD205" s="2189" t="n"/>
      <c r="AE205" s="2189" t="n"/>
      <c r="AF205" s="2286" t="n"/>
      <c r="AG205" s="2189" t="n"/>
      <c r="AH205" s="2189" t="n"/>
      <c r="AI205" s="2189" t="n"/>
      <c r="AJ205" s="2189" t="n"/>
      <c r="AK205" s="2189" t="n"/>
      <c r="AL205" s="2189" t="n"/>
      <c r="AM205" s="2189" t="n"/>
      <c r="AN205" s="2190" t="n"/>
      <c r="AO205" s="2187" t="n"/>
      <c r="AP205" s="554" t="n"/>
    </row>
    <row r="206" spans="1:44">
      <c r="A206" s="2255" t="s">
        <v>160</v>
      </c>
      <c r="B206" s="2187" t="n"/>
      <c r="C206" s="2188" t="n"/>
      <c r="D206" s="2189" t="n"/>
      <c r="E206" s="2189" t="n"/>
      <c r="F206" s="2286" t="n"/>
      <c r="G206" s="2189" t="n"/>
      <c r="H206" s="2189" t="n"/>
      <c r="I206" s="2287" t="n"/>
      <c r="J206" s="2287" t="n"/>
      <c r="K206" s="2287" t="n"/>
      <c r="L206" s="2287" t="n"/>
      <c r="M206" s="2287" t="n"/>
      <c r="N206" s="2289" t="n"/>
      <c r="O206" s="2187" t="n"/>
      <c r="P206" s="2191">
        <f>PL!D327</f>
        <v/>
      </c>
      <c r="Q206" s="2192">
        <f>PL!H327</f>
        <v/>
      </c>
      <c r="R206" s="2192">
        <f>PL!L327</f>
        <v/>
      </c>
      <c r="S206" s="2192">
        <f>PL!P327</f>
        <v/>
      </c>
      <c r="T206" s="2192">
        <f>PL!T327</f>
        <v/>
      </c>
      <c r="U206" s="2192">
        <f>PL!X327</f>
        <v/>
      </c>
      <c r="V206" s="2192">
        <f>PL!AB327</f>
        <v/>
      </c>
      <c r="W206" s="2192">
        <f>PL!AF327</f>
        <v/>
      </c>
      <c r="X206" s="2192">
        <f>PL!AJ327</f>
        <v/>
      </c>
      <c r="Y206" s="2192">
        <f>PL!AN327</f>
        <v/>
      </c>
      <c r="Z206" s="2192">
        <f>PL!AR327</f>
        <v/>
      </c>
      <c r="AA206" s="2145">
        <f>PL!AV327</f>
        <v/>
      </c>
      <c r="AB206" s="2187" t="n"/>
      <c r="AC206" s="2188" t="n"/>
      <c r="AD206" s="2189" t="n"/>
      <c r="AE206" s="2189" t="n"/>
      <c r="AF206" s="2286" t="n"/>
      <c r="AG206" s="2189" t="n"/>
      <c r="AH206" s="2189" t="n"/>
      <c r="AI206" s="2287" t="n"/>
      <c r="AJ206" s="2287" t="n"/>
      <c r="AK206" s="2287" t="n"/>
      <c r="AL206" s="2287" t="n"/>
      <c r="AM206" s="2287" t="n"/>
      <c r="AN206" s="2289" t="n"/>
      <c r="AO206" s="2187" t="n"/>
      <c r="AP206" s="554" t="n"/>
    </row>
    <row r="207" spans="1:44">
      <c r="A207" s="2255" t="s">
        <v>161</v>
      </c>
      <c r="B207" s="2187" t="n"/>
      <c r="C207" s="2188" t="n"/>
      <c r="D207" s="2189" t="n"/>
      <c r="E207" s="2189" t="n"/>
      <c r="F207" s="2286" t="n"/>
      <c r="G207" s="2189" t="n"/>
      <c r="H207" s="2189" t="n"/>
      <c r="I207" s="2189" t="n"/>
      <c r="J207" s="2189" t="n"/>
      <c r="K207" s="2189" t="n"/>
      <c r="L207" s="2189" t="n"/>
      <c r="M207" s="2189" t="n"/>
      <c r="N207" s="2190" t="n"/>
      <c r="O207" s="2187" t="n"/>
      <c r="P207" s="2191">
        <f>PL!D324</f>
        <v/>
      </c>
      <c r="Q207" s="2192">
        <f>PL!H324</f>
        <v/>
      </c>
      <c r="R207" s="2192">
        <f>PL!L324</f>
        <v/>
      </c>
      <c r="S207" s="2192">
        <f>PL!P324</f>
        <v/>
      </c>
      <c r="T207" s="2192">
        <f>PL!T324</f>
        <v/>
      </c>
      <c r="U207" s="2192">
        <f>PL!X324</f>
        <v/>
      </c>
      <c r="V207" s="2192">
        <f>PL!AB324</f>
        <v/>
      </c>
      <c r="W207" s="2192">
        <f>PL!AF324</f>
        <v/>
      </c>
      <c r="X207" s="2192">
        <f>PL!AJ324</f>
        <v/>
      </c>
      <c r="Y207" s="2192">
        <f>PL!AN324</f>
        <v/>
      </c>
      <c r="Z207" s="2192">
        <f>PL!AR324</f>
        <v/>
      </c>
      <c r="AA207" s="2145">
        <f>PL!AV324</f>
        <v/>
      </c>
      <c r="AB207" s="2187" t="n"/>
      <c r="AC207" s="2188" t="n"/>
      <c r="AD207" s="2189" t="n"/>
      <c r="AE207" s="2189" t="n"/>
      <c r="AF207" s="2286" t="n"/>
      <c r="AG207" s="2189" t="n"/>
      <c r="AH207" s="2189" t="n"/>
      <c r="AI207" s="2189" t="n"/>
      <c r="AJ207" s="2189" t="n"/>
      <c r="AK207" s="2189" t="n"/>
      <c r="AL207" s="2189" t="n"/>
      <c r="AM207" s="2189" t="n"/>
      <c r="AN207" s="2190" t="n"/>
      <c r="AO207" s="2187" t="n"/>
      <c r="AP207" s="554" t="n"/>
    </row>
    <row r="208" spans="1:44">
      <c r="A208" s="2255" t="s">
        <v>162</v>
      </c>
      <c r="B208" s="2187" t="n"/>
      <c r="C208" s="2188" t="n"/>
      <c r="D208" s="2189" t="n"/>
      <c r="E208" s="2189" t="n"/>
      <c r="F208" s="2286" t="n"/>
      <c r="G208" s="2189" t="n"/>
      <c r="H208" s="2189" t="n"/>
      <c r="I208" s="2287" t="n"/>
      <c r="J208" s="2287" t="n"/>
      <c r="K208" s="2287" t="n"/>
      <c r="L208" s="2287" t="n"/>
      <c r="M208" s="2287" t="n"/>
      <c r="N208" s="2190" t="n"/>
      <c r="O208" s="2187" t="n"/>
      <c r="P208" s="2191">
        <f>PL!D325</f>
        <v/>
      </c>
      <c r="Q208" s="2192">
        <f>PL!H325</f>
        <v/>
      </c>
      <c r="R208" s="2192">
        <f>PL!L325</f>
        <v/>
      </c>
      <c r="S208" s="2192">
        <f>PL!P325</f>
        <v/>
      </c>
      <c r="T208" s="2192">
        <f>PL!T325</f>
        <v/>
      </c>
      <c r="U208" s="2192">
        <f>PL!X325</f>
        <v/>
      </c>
      <c r="V208" s="2192">
        <f>PL!AB325</f>
        <v/>
      </c>
      <c r="W208" s="2192">
        <f>PL!AF325</f>
        <v/>
      </c>
      <c r="X208" s="2192">
        <f>PL!AJ325</f>
        <v/>
      </c>
      <c r="Y208" s="2192">
        <f>PL!AN325</f>
        <v/>
      </c>
      <c r="Z208" s="2192">
        <f>PL!AR325</f>
        <v/>
      </c>
      <c r="AA208" s="2145">
        <f>PL!AV325</f>
        <v/>
      </c>
      <c r="AB208" s="2187" t="n"/>
      <c r="AC208" s="2188" t="n"/>
      <c r="AD208" s="2189" t="n"/>
      <c r="AE208" s="2189" t="n"/>
      <c r="AF208" s="2286" t="n"/>
      <c r="AG208" s="2189" t="n"/>
      <c r="AH208" s="2189" t="n"/>
      <c r="AI208" s="2287" t="n"/>
      <c r="AJ208" s="2287" t="n"/>
      <c r="AK208" s="2287" t="n"/>
      <c r="AL208" s="2287" t="n"/>
      <c r="AM208" s="2287" t="n"/>
      <c r="AN208" s="2190" t="n"/>
      <c r="AO208" s="2187" t="n"/>
      <c r="AP208" s="554" t="n"/>
    </row>
    <row r="209" spans="1:44">
      <c r="A209" s="2255" t="s">
        <v>163</v>
      </c>
      <c r="B209" s="2187" t="n"/>
      <c r="C209" s="2188" t="n"/>
      <c r="D209" s="2189" t="n"/>
      <c r="E209" s="2189" t="n"/>
      <c r="F209" s="2286" t="n"/>
      <c r="G209" s="2189" t="n"/>
      <c r="H209" s="2189" t="n"/>
      <c r="I209" s="2189" t="n"/>
      <c r="J209" s="2189" t="n"/>
      <c r="K209" s="2189" t="n"/>
      <c r="L209" s="2189" t="n"/>
      <c r="M209" s="2189" t="n"/>
      <c r="N209" s="2190" t="n"/>
      <c r="O209" s="2187" t="n"/>
      <c r="P209" s="2191">
        <f>PL!D321</f>
        <v/>
      </c>
      <c r="Q209" s="2192">
        <f>PL!H321</f>
        <v/>
      </c>
      <c r="R209" s="2192">
        <f>PL!L321</f>
        <v/>
      </c>
      <c r="S209" s="2192">
        <f>PL!P321</f>
        <v/>
      </c>
      <c r="T209" s="2192">
        <f>PL!T321</f>
        <v/>
      </c>
      <c r="U209" s="2192">
        <f>PL!X321</f>
        <v/>
      </c>
      <c r="V209" s="2192">
        <f>PL!AB321</f>
        <v/>
      </c>
      <c r="W209" s="2192">
        <f>PL!AF321</f>
        <v/>
      </c>
      <c r="X209" s="2192">
        <f>PL!AJ321</f>
        <v/>
      </c>
      <c r="Y209" s="2192">
        <f>PL!AN321</f>
        <v/>
      </c>
      <c r="Z209" s="2192">
        <f>PL!AR321</f>
        <v/>
      </c>
      <c r="AA209" s="2145">
        <f>PL!AV321</f>
        <v/>
      </c>
      <c r="AB209" s="2187" t="n"/>
      <c r="AC209" s="2188" t="n"/>
      <c r="AD209" s="2189" t="n"/>
      <c r="AE209" s="2230" t="n"/>
      <c r="AF209" s="2286" t="n"/>
      <c r="AG209" s="2189" t="n"/>
      <c r="AH209" s="2189" t="n"/>
      <c r="AI209" s="2189" t="n"/>
      <c r="AJ209" s="2189" t="n"/>
      <c r="AK209" s="2189" t="n"/>
      <c r="AL209" s="2189" t="n"/>
      <c r="AM209" s="2189" t="n"/>
      <c r="AN209" s="2190" t="n"/>
      <c r="AO209" s="2187" t="n"/>
      <c r="AP209" s="554" t="n"/>
    </row>
    <row r="210" spans="1:44">
      <c r="A210" s="2255" t="s">
        <v>164</v>
      </c>
      <c r="B210" s="2187" t="n"/>
      <c r="C210" s="2313" t="n"/>
      <c r="D210" s="2189" t="n"/>
      <c r="E210" s="2189" t="n"/>
      <c r="F210" s="2286" t="n"/>
      <c r="G210" s="2189" t="n"/>
      <c r="H210" s="2189" t="n"/>
      <c r="I210" s="2314" t="n"/>
      <c r="J210" s="2314" t="n"/>
      <c r="K210" s="2314" t="n"/>
      <c r="L210" s="2314" t="n"/>
      <c r="M210" s="2314" t="n"/>
      <c r="N210" s="2315" t="n"/>
      <c r="O210" s="2187" t="n"/>
      <c r="P210" s="2191">
        <f>PL!D317+PL!D320+PL!D322</f>
        <v/>
      </c>
      <c r="Q210" s="2192">
        <f>PL!H317+PL!H320+PL!H322</f>
        <v/>
      </c>
      <c r="R210" s="2192">
        <f>PL!L317+PL!L320+PL!L322</f>
        <v/>
      </c>
      <c r="S210" s="2192">
        <f>PL!P317+PL!P320+PL!P322</f>
        <v/>
      </c>
      <c r="T210" s="2192">
        <f>PL!T317+PL!T320+PL!T322</f>
        <v/>
      </c>
      <c r="U210" s="2192">
        <f>PL!X317+PL!X320+PL!X322</f>
        <v/>
      </c>
      <c r="V210" s="2192">
        <f>PL!AB317+PL!AB320+PL!AB322</f>
        <v/>
      </c>
      <c r="W210" s="2192">
        <f>PL!AF317+PL!AF320+PL!AF322</f>
        <v/>
      </c>
      <c r="X210" s="2192">
        <f>PL!AJ317+PL!AJ320+PL!AJ322</f>
        <v/>
      </c>
      <c r="Y210" s="2192">
        <f>PL!AN317+PL!AN320+PL!AN322</f>
        <v/>
      </c>
      <c r="Z210" s="2192">
        <f>PL!AR317+PL!AR320+PL!AR322</f>
        <v/>
      </c>
      <c r="AA210" s="2145">
        <f>PL!AV317+PL!AV320+PL!AV322</f>
        <v/>
      </c>
      <c r="AB210" s="2187" t="n"/>
      <c r="AC210" s="2188" t="n"/>
      <c r="AD210" s="2189" t="n"/>
      <c r="AE210" s="2189" t="n"/>
      <c r="AF210" s="2286" t="n"/>
      <c r="AG210" s="2189" t="n"/>
      <c r="AH210" s="2189" t="n"/>
      <c r="AI210" s="2314" t="n"/>
      <c r="AJ210" s="2314" t="n"/>
      <c r="AK210" s="2314" t="n"/>
      <c r="AL210" s="2314" t="n"/>
      <c r="AM210" s="2314" t="n"/>
      <c r="AN210" s="2315" t="n"/>
      <c r="AO210" s="2187" t="n"/>
      <c r="AP210" s="554" t="n"/>
    </row>
    <row r="211" spans="1:44">
      <c r="A211" s="2256" t="s">
        <v>165</v>
      </c>
      <c r="B211" s="2195" t="n"/>
      <c r="C211" s="2318" t="n"/>
      <c r="D211" s="2319" t="n"/>
      <c r="E211" s="2319" t="n"/>
      <c r="F211" s="2320" t="n"/>
      <c r="G211" s="2319" t="n"/>
      <c r="H211" s="2319" t="n"/>
      <c r="I211" s="2319" t="n"/>
      <c r="J211" s="2197" t="n"/>
      <c r="K211" s="2320" t="n"/>
      <c r="L211" s="2319" t="n"/>
      <c r="M211" s="2197" t="n"/>
      <c r="N211" s="2343" t="n"/>
      <c r="O211" s="2195" t="n"/>
      <c r="P211" s="2199">
        <f>PL!D330+PL!D331+PL!D332</f>
        <v/>
      </c>
      <c r="Q211" s="2200">
        <f>PL!H330+PL!H331+PL!H332</f>
        <v/>
      </c>
      <c r="R211" s="2200">
        <f>PL!L330+PL!L331+PL!L332</f>
        <v/>
      </c>
      <c r="S211" s="2200">
        <f>PL!P330+PL!P331+PL!P332</f>
        <v/>
      </c>
      <c r="T211" s="2200">
        <f>PL!T330+PL!T331+PL!T332</f>
        <v/>
      </c>
      <c r="U211" s="2200">
        <f>PL!X330+PL!X331+PL!X332</f>
        <v/>
      </c>
      <c r="V211" s="2200">
        <f>PL!AB330+PL!AB331+PL!AB332</f>
        <v/>
      </c>
      <c r="W211" s="2200">
        <f>PL!AF330+PL!AF331+PL!AF332</f>
        <v/>
      </c>
      <c r="X211" s="2200">
        <f>PL!AJ330+PL!AJ331+PL!AJ332</f>
        <v/>
      </c>
      <c r="Y211" s="2200">
        <f>PL!AN330+PL!AN331+PL!AN332</f>
        <v/>
      </c>
      <c r="Z211" s="2200">
        <f>PL!AR330+PL!AR331+PL!AR332</f>
        <v/>
      </c>
      <c r="AA211" s="2292">
        <f>PL!AV330+PL!AV331+PL!AV332</f>
        <v/>
      </c>
      <c r="AB211" s="2195" t="n"/>
      <c r="AC211" s="2196" t="n"/>
      <c r="AD211" s="2197" t="n"/>
      <c r="AE211" s="2197" t="n"/>
      <c r="AF211" s="2320" t="n"/>
      <c r="AG211" s="2319" t="n"/>
      <c r="AH211" s="2319" t="n"/>
      <c r="AI211" s="2319" t="n"/>
      <c r="AJ211" s="2197" t="n"/>
      <c r="AK211" s="2320" t="n"/>
      <c r="AL211" s="2319" t="n"/>
      <c r="AM211" s="2197" t="n"/>
      <c r="AN211" s="2343" t="n"/>
      <c r="AO211" s="2187" t="n"/>
      <c r="AP211" s="554" t="n"/>
    </row>
    <row r="212" spans="1:44">
      <c r="A212" s="2255" t="s">
        <v>89</v>
      </c>
      <c r="B212" s="2187" t="n"/>
      <c r="C212" s="2257">
        <f>PL!C333</f>
        <v/>
      </c>
      <c r="D212" s="2234">
        <f>PL!G333</f>
        <v/>
      </c>
      <c r="E212" s="2258">
        <f>PL!K333</f>
        <v/>
      </c>
      <c r="F212" s="2234">
        <f>PL!O333</f>
        <v/>
      </c>
      <c r="G212" s="2326">
        <f>PL!S333</f>
        <v/>
      </c>
      <c r="H212" s="2234">
        <f>PL!W333</f>
        <v/>
      </c>
      <c r="I212" s="2235">
        <f>PL!AA333</f>
        <v/>
      </c>
      <c r="J212" s="2235">
        <f>PL!AE333</f>
        <v/>
      </c>
      <c r="K212" s="2234">
        <f>PL!AI333</f>
        <v/>
      </c>
      <c r="L212" s="2234">
        <f>PL!AM333</f>
        <v/>
      </c>
      <c r="M212" s="2234">
        <f>PL!AQ333</f>
        <v/>
      </c>
      <c r="N212" s="2327">
        <f>PL!AU333</f>
        <v/>
      </c>
      <c r="O212" s="2187" t="n"/>
      <c r="P212" s="2360" t="n"/>
      <c r="Q212" s="2358" t="n"/>
      <c r="R212" s="2358" t="n"/>
      <c r="S212" s="2358" t="n"/>
      <c r="T212" s="2358" t="n"/>
      <c r="U212" s="2358" t="n"/>
      <c r="V212" s="2358" t="n"/>
      <c r="W212" s="2358" t="n"/>
      <c r="X212" s="2358" t="n"/>
      <c r="Y212" s="2358" t="n"/>
      <c r="Z212" s="2358" t="n"/>
      <c r="AA212" s="2361" t="n"/>
      <c r="AB212" s="2187" t="n"/>
      <c r="AC212" s="2234" t="n"/>
      <c r="AD212" s="2234" t="n"/>
      <c r="AE212" s="2234" t="n"/>
      <c r="AF212" s="2235" t="n"/>
      <c r="AG212" s="2234" t="n"/>
      <c r="AH212" s="2234" t="n"/>
      <c r="AI212" s="2234" t="n"/>
      <c r="AJ212" s="2234" t="n"/>
      <c r="AK212" s="2234" t="n"/>
      <c r="AL212" s="2234" t="n"/>
      <c r="AM212" s="2234" t="n"/>
      <c r="AN212" s="2234" t="n"/>
      <c r="AO212" s="2187" t="n"/>
      <c r="AP212" s="2173" t="n"/>
    </row>
    <row r="213" spans="1:44">
      <c r="A213" s="2265">
        <f>A172</f>
        <v/>
      </c>
      <c r="B213" s="2187" t="n"/>
      <c r="C213" s="2188" t="n"/>
      <c r="D213" s="2189" t="n"/>
      <c r="E213" s="2189" t="n"/>
      <c r="F213" s="2286" t="n"/>
      <c r="G213" s="2189" t="n"/>
      <c r="H213" s="2189" t="n"/>
      <c r="I213" s="2189" t="n"/>
      <c r="J213" s="2189" t="n"/>
      <c r="K213" s="2189" t="n"/>
      <c r="L213" s="2189" t="n"/>
      <c r="M213" s="2189" t="n"/>
      <c r="N213" s="2190" t="n"/>
      <c r="O213" s="2187" t="n"/>
      <c r="P213" s="2188" t="n"/>
      <c r="Q213" s="2189" t="n"/>
      <c r="R213" s="2189" t="n"/>
      <c r="S213" s="2286" t="n"/>
      <c r="T213" s="2189" t="n"/>
      <c r="U213" s="2189" t="n"/>
      <c r="V213" s="2189" t="n"/>
      <c r="W213" s="2189" t="n"/>
      <c r="X213" s="2189" t="n"/>
      <c r="Y213" s="2189" t="n"/>
      <c r="Z213" s="2189" t="n"/>
      <c r="AA213" s="2190" t="n"/>
      <c r="AB213" s="2187" t="n"/>
      <c r="AC213" s="2188">
        <f>SUM(C202:C213)-SUM(P202:P213)</f>
        <v/>
      </c>
      <c r="AD213" s="2189">
        <f>SUM(D202:D213)-SUM(Q202:Q213)</f>
        <v/>
      </c>
      <c r="AE213" s="2189">
        <f>SUM(E202:E213)-SUM(R202:R213)</f>
        <v/>
      </c>
      <c r="AF213" s="2189">
        <f>SUM(F202:F213)-SUM(S202:S213)</f>
        <v/>
      </c>
      <c r="AG213" s="2189">
        <f>SUM(G202:G213)-SUM(T202:T213)</f>
        <v/>
      </c>
      <c r="AH213" s="2189">
        <f>SUM(H202:H213)-SUM(U202:U213)</f>
        <v/>
      </c>
      <c r="AI213" s="2189">
        <f>SUM(I202:I213)-SUM(V202:V213)</f>
        <v/>
      </c>
      <c r="AJ213" s="2189">
        <f>SUM(J202:J213)-SUM(W202:W213)</f>
        <v/>
      </c>
      <c r="AK213" s="2189">
        <f>SUM(K202:K213)-SUM(X202:X213)</f>
        <v/>
      </c>
      <c r="AL213" s="2189">
        <f>SUM(L202:L213)-SUM(Y202:Y213)</f>
        <v/>
      </c>
      <c r="AM213" s="2189">
        <f>SUM(M202:M213)-SUM(Z202:Z213)</f>
        <v/>
      </c>
      <c r="AN213" s="2353">
        <f>SUM(N202:N213)-SUM(AA202:AA213)</f>
        <v/>
      </c>
      <c r="AO213" s="2187" t="n"/>
      <c r="AP213" s="2173" t="n"/>
    </row>
    <row r="214" spans="1:44">
      <c r="A214" s="2204" t="s">
        <v>182</v>
      </c>
      <c r="B214" s="2187" t="n"/>
      <c r="C214" s="2205" t="n"/>
      <c r="D214" s="2206" t="n"/>
      <c r="E214" s="2206" t="n"/>
      <c r="F214" s="2286" t="n"/>
      <c r="G214" s="2189" t="n"/>
      <c r="H214" s="2189" t="n"/>
      <c r="I214" s="2189" t="n"/>
      <c r="J214" s="2189" t="n"/>
      <c r="K214" s="2189" t="n"/>
      <c r="L214" s="2189" t="n"/>
      <c r="M214" s="2189" t="n"/>
      <c r="N214" s="2190" t="n"/>
      <c r="O214" s="2187" t="n"/>
      <c r="P214" s="2205" t="n"/>
      <c r="Q214" s="2206" t="n"/>
      <c r="R214" s="2206" t="n"/>
      <c r="S214" s="2286" t="n"/>
      <c r="T214" s="2189" t="n"/>
      <c r="U214" s="2189" t="n"/>
      <c r="V214" s="2189" t="n"/>
      <c r="W214" s="2189" t="n"/>
      <c r="X214" s="2189" t="n"/>
      <c r="Y214" s="2189" t="n"/>
      <c r="Z214" s="2189" t="n"/>
      <c r="AA214" s="2190" t="n"/>
      <c r="AB214" s="2187" t="n"/>
      <c r="AC214" s="632">
        <f>AC215/C215</f>
        <v/>
      </c>
      <c r="AD214" s="633">
        <f>AD215/D215</f>
        <v/>
      </c>
      <c r="AE214" s="629">
        <f>AE215/E215</f>
        <v/>
      </c>
      <c r="AF214" s="629">
        <f>AF215/F215</f>
        <v/>
      </c>
      <c r="AG214" s="629">
        <f>AG215/G215</f>
        <v/>
      </c>
      <c r="AH214" s="629">
        <f>AH215/H215</f>
        <v/>
      </c>
      <c r="AI214" s="629">
        <f>AI215/I215</f>
        <v/>
      </c>
      <c r="AJ214" s="629">
        <f>AJ215/J215</f>
        <v/>
      </c>
      <c r="AK214" s="629">
        <f>AK215/K215</f>
        <v/>
      </c>
      <c r="AL214" s="629">
        <f>AL215/L215</f>
        <v/>
      </c>
      <c r="AM214" s="629">
        <f>AM215/M215</f>
        <v/>
      </c>
      <c r="AN214" s="720">
        <f>AN215/N215</f>
        <v/>
      </c>
      <c r="AO214" s="2187" t="n"/>
      <c r="AP214" s="2173" t="n"/>
    </row>
    <row customHeight="1" ht="18" r="215" s="1843" spans="1:44" thickBot="1">
      <c r="A215" s="2266" t="s">
        <v>173</v>
      </c>
      <c r="B215" s="2240" t="n"/>
      <c r="C215" s="2244">
        <f>SUM(C202:C213)</f>
        <v/>
      </c>
      <c r="D215" s="2245">
        <f>SUM(D202:D213)</f>
        <v/>
      </c>
      <c r="E215" s="2242">
        <f>SUM(E202:E213)</f>
        <v/>
      </c>
      <c r="F215" s="2242">
        <f>SUM(F202:F213)</f>
        <v/>
      </c>
      <c r="G215" s="2242">
        <f>SUM(G202:G213)</f>
        <v/>
      </c>
      <c r="H215" s="2242">
        <f>SUM(H202:H213)</f>
        <v/>
      </c>
      <c r="I215" s="2242">
        <f>SUM(I202:I213)</f>
        <v/>
      </c>
      <c r="J215" s="2242">
        <f>SUM(J202:J213)</f>
        <v/>
      </c>
      <c r="K215" s="2242">
        <f>SUM(K202:K213)</f>
        <v/>
      </c>
      <c r="L215" s="2242">
        <f>SUM(L202:L213)</f>
        <v/>
      </c>
      <c r="M215" s="2242">
        <f>SUM(M202:M213)</f>
        <v/>
      </c>
      <c r="N215" s="2242">
        <f>SUM(N202:N213)</f>
        <v/>
      </c>
      <c r="O215" s="2240" t="n"/>
      <c r="P215" s="2244">
        <f>SUM(P202:P213)</f>
        <v/>
      </c>
      <c r="Q215" s="2245">
        <f>SUM(Q202:Q213)</f>
        <v/>
      </c>
      <c r="R215" s="2354">
        <f>SUM(R202:R213)</f>
        <v/>
      </c>
      <c r="S215" s="2354">
        <f>SUM(S202:S213)</f>
        <v/>
      </c>
      <c r="T215" s="2354">
        <f>SUM(T202:T213)</f>
        <v/>
      </c>
      <c r="U215" s="2355">
        <f>SUM(U202:U213)</f>
        <v/>
      </c>
      <c r="V215" s="2356">
        <f>SUM(V202:V213)</f>
        <v/>
      </c>
      <c r="W215" s="2356">
        <f>SUM(W202:W213)</f>
        <v/>
      </c>
      <c r="X215" s="2356">
        <f>SUM(X202:X213)</f>
        <v/>
      </c>
      <c r="Y215" s="2356">
        <f>SUM(Y202:Y213)</f>
        <v/>
      </c>
      <c r="Z215" s="2354">
        <f>SUM(Z202:Z213)</f>
        <v/>
      </c>
      <c r="AA215" s="2357">
        <f>SUM(AA202:AA213)</f>
        <v/>
      </c>
      <c r="AB215" s="2240" t="n"/>
      <c r="AC215" s="2244">
        <f>SUM(AC202:AC213)</f>
        <v/>
      </c>
      <c r="AD215" s="2245">
        <f>SUM(AD202:AD213)</f>
        <v/>
      </c>
      <c r="AE215" s="2354">
        <f>SUM(AE202:AE213)</f>
        <v/>
      </c>
      <c r="AF215" s="2354">
        <f>SUM(AF202:AF213)</f>
        <v/>
      </c>
      <c r="AG215" s="2354">
        <f>SUM(AG202:AG213)</f>
        <v/>
      </c>
      <c r="AH215" s="2355">
        <f>SUM(AH202:AH213)</f>
        <v/>
      </c>
      <c r="AI215" s="2354">
        <f>SUM(AI202:AI213)</f>
        <v/>
      </c>
      <c r="AJ215" s="2354">
        <f>SUM(AJ202:AJ213)</f>
        <v/>
      </c>
      <c r="AK215" s="2354">
        <f>SUM(AK202:AK213)</f>
        <v/>
      </c>
      <c r="AL215" s="2354">
        <f>SUM(AL202:AL213)</f>
        <v/>
      </c>
      <c r="AM215" s="2354">
        <f>SUM(AM202:AM213)</f>
        <v/>
      </c>
      <c r="AN215" s="2357">
        <f>SUM(AN202:AN213)</f>
        <v/>
      </c>
      <c r="AO215" s="2240" t="n"/>
      <c r="AP215" s="613" t="n"/>
    </row>
  </sheetData>
  <mergeCells count="12">
    <mergeCell ref="A159:A160"/>
    <mergeCell ref="C159:D159"/>
    <mergeCell ref="A200:A201"/>
    <mergeCell ref="C200:D200"/>
    <mergeCell ref="A121:A122"/>
    <mergeCell ref="C121:D121"/>
    <mergeCell ref="C2:D2"/>
    <mergeCell ref="C40:D40"/>
    <mergeCell ref="C79:D79"/>
    <mergeCell ref="A2:A3"/>
    <mergeCell ref="A40:A41"/>
    <mergeCell ref="A79:A80"/>
  </mergeCells>
  <pageMargins bottom="1" footer="0.5" header="0.5" left="0.75" right="0.75" top="1"/>
  <pageSetup orientation="portrait" scale="71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rgb="FF9900FF"/>
    <outlinePr summaryBelow="1" summaryRight="1"/>
    <pageSetUpPr/>
  </sheetPr>
  <dimension ref="A1:BE684"/>
  <sheetViews>
    <sheetView workbookViewId="0" zoomScaleNormal="100">
      <pane activePane="bottomRight" state="frozen" topLeftCell="D428" xSplit="3" ySplit="2"/>
      <selection activeCell="E1" pane="topRight" sqref="E1"/>
      <selection activeCell="A4" pane="bottomLeft" sqref="A4"/>
      <selection activeCell="I447" pane="bottomRight" sqref="I447"/>
    </sheetView>
  </sheetViews>
  <sheetFormatPr baseColWidth="8" defaultColWidth="8.875" defaultRowHeight="13.5" outlineLevelCol="0" outlineLevelRow="1"/>
  <cols>
    <col customWidth="1" max="1" min="1" style="2362" width="11.5"/>
    <col customWidth="1" max="2" min="2" style="1324" width="4.5"/>
    <col customWidth="1" max="3" min="3" style="2362" width="22.625"/>
    <col customWidth="1" max="4" min="4" style="2362" width="10.875"/>
    <col customWidth="1" max="16" min="5" style="2362" width="10.75"/>
    <col customWidth="1" max="17" min="17" style="2362" width="13.625"/>
    <col customWidth="1" max="18" min="18" style="2362" width="15.25"/>
    <col customWidth="1" max="19" min="19" style="2362" width="11.375"/>
    <col customWidth="1" max="16384" min="20" style="2362" width="8.875"/>
  </cols>
  <sheetData>
    <row customHeight="1" ht="19.5" r="1" s="1843" spans="1:57">
      <c r="A1" s="2363" t="n"/>
      <c r="B1" s="44" t="n"/>
      <c r="C1" s="2364" t="s">
        <v>184</v>
      </c>
      <c r="D1" s="2365" t="n"/>
      <c r="E1" s="2366" t="n"/>
      <c r="F1" s="2365" t="n"/>
      <c r="G1" s="2365" t="n"/>
      <c r="H1" s="2365" t="n"/>
      <c r="I1" s="2365" t="n"/>
      <c r="J1" s="2367" t="n"/>
      <c r="K1" s="2367" t="n"/>
      <c r="L1" s="2367" t="n"/>
      <c r="M1" s="2367" t="n"/>
      <c r="N1" s="2367" t="n"/>
      <c r="O1" s="2367" t="n"/>
      <c r="P1" s="2368" t="n"/>
    </row>
    <row customFormat="1" customHeight="1" ht="15.75" r="2" s="2369" spans="1:57">
      <c r="A2" s="2370" t="n"/>
      <c r="B2" s="80" t="n"/>
      <c r="C2" s="2371" t="n"/>
      <c r="D2" s="2372" t="n">
        <v>43191</v>
      </c>
      <c r="E2" s="2372" t="n">
        <v>43221</v>
      </c>
      <c r="F2" s="2372" t="n">
        <v>43252</v>
      </c>
      <c r="G2" s="2372" t="n">
        <v>43282</v>
      </c>
      <c r="H2" s="2372" t="n">
        <v>43313</v>
      </c>
      <c r="I2" s="2372" t="n">
        <v>43344</v>
      </c>
      <c r="J2" s="2372" t="n">
        <v>43374</v>
      </c>
      <c r="K2" s="2372" t="n">
        <v>43405</v>
      </c>
      <c r="L2" s="2372" t="n">
        <v>43435</v>
      </c>
      <c r="M2" s="2372" t="n">
        <v>43466</v>
      </c>
      <c r="N2" s="2372" t="n">
        <v>43497</v>
      </c>
      <c r="O2" s="2372" t="n">
        <v>43525</v>
      </c>
      <c r="P2" s="2373" t="s">
        <v>55</v>
      </c>
      <c r="R2" s="2374" t="s">
        <v>185</v>
      </c>
    </row>
    <row customHeight="1" ht="15.75" r="3" s="1843" spans="1:57">
      <c r="A3" s="2375" t="s">
        <v>186</v>
      </c>
      <c r="B3" s="64" t="n"/>
      <c r="C3" s="2376" t="s">
        <v>187</v>
      </c>
      <c r="D3" s="51">
        <f>CFG!E80</f>
        <v/>
      </c>
      <c r="E3" s="51">
        <f>CFG!F80</f>
        <v/>
      </c>
      <c r="F3" s="51">
        <f>CFG!G80</f>
        <v/>
      </c>
      <c r="G3" s="51">
        <f>CFG!H80</f>
        <v/>
      </c>
      <c r="H3" s="51">
        <f>CFG!I80</f>
        <v/>
      </c>
      <c r="I3" s="51">
        <f>CFG!J80</f>
        <v/>
      </c>
      <c r="J3" s="51">
        <f>CFG!K80</f>
        <v/>
      </c>
      <c r="K3" s="51">
        <f>CFG!L80</f>
        <v/>
      </c>
      <c r="L3" s="51">
        <f>CFG!M80</f>
        <v/>
      </c>
      <c r="M3" s="51">
        <f>CFG!N80</f>
        <v/>
      </c>
      <c r="N3" s="51">
        <f>CFG!O80</f>
        <v/>
      </c>
      <c r="O3" s="1182">
        <f>CFG!P80</f>
        <v/>
      </c>
      <c r="P3" s="1178">
        <f>SUM(D3:O3)</f>
        <v/>
      </c>
      <c r="Q3" s="2377">
        <f>CFG!Q80</f>
        <v/>
      </c>
      <c r="R3" s="2377">
        <f>CFG!Q80</f>
        <v/>
      </c>
      <c r="S3" s="2377">
        <f>R3-P3</f>
        <v/>
      </c>
    </row>
    <row customHeight="1" ht="18" r="4" s="1843" spans="1:57">
      <c r="A4" s="2378" t="s">
        <v>188</v>
      </c>
      <c r="B4" s="66" t="n"/>
      <c r="C4" s="2379" t="s">
        <v>189</v>
      </c>
      <c r="D4" s="1380">
        <f>CFG!E81</f>
        <v/>
      </c>
      <c r="E4" s="1380">
        <f>CFG!F81</f>
        <v/>
      </c>
      <c r="F4" s="1380">
        <f>CFG!G81</f>
        <v/>
      </c>
      <c r="G4" s="1380">
        <f>CFG!H81</f>
        <v/>
      </c>
      <c r="H4" s="1380">
        <f>CFG!I81</f>
        <v/>
      </c>
      <c r="I4" s="1380">
        <f>CFG!J81</f>
        <v/>
      </c>
      <c r="J4" s="1380">
        <f>CFG!K81</f>
        <v/>
      </c>
      <c r="K4" s="1380">
        <f>CFG!L81</f>
        <v/>
      </c>
      <c r="L4" s="1380">
        <f>CFG!M81</f>
        <v/>
      </c>
      <c r="M4" s="1380">
        <f>CFG!N81</f>
        <v/>
      </c>
      <c r="N4" s="1380">
        <f>CFG!O81</f>
        <v/>
      </c>
      <c r="O4" s="1183">
        <f>CFG!P81</f>
        <v/>
      </c>
      <c r="P4" s="1179">
        <f>SUM(D4:O4)</f>
        <v/>
      </c>
      <c r="Q4" s="2377">
        <f>CFG!Q81</f>
        <v/>
      </c>
      <c r="R4" s="2377">
        <f>CFG!Q81</f>
        <v/>
      </c>
      <c r="S4" s="2377">
        <f>R4-P4</f>
        <v/>
      </c>
    </row>
    <row customHeight="1" ht="14.25" r="5" s="1843" spans="1:57">
      <c r="A5" s="2380" t="n"/>
      <c r="B5" s="66" t="n"/>
      <c r="C5" s="2379" t="s">
        <v>190</v>
      </c>
      <c r="D5" s="1380" t="n"/>
      <c r="E5" s="1380" t="n"/>
      <c r="F5" s="1380" t="n"/>
      <c r="G5" s="1380" t="n"/>
      <c r="H5" s="1380" t="n"/>
      <c r="I5" s="1380" t="n"/>
      <c r="J5" s="1380" t="n"/>
      <c r="K5" s="1380" t="n"/>
      <c r="L5" s="1380" t="n"/>
      <c r="M5" s="1380" t="n"/>
      <c r="N5" s="1380" t="n"/>
      <c r="O5" s="1183" t="n"/>
      <c r="P5" s="1179">
        <f>SUM(D5:O5)</f>
        <v/>
      </c>
      <c r="Q5" s="2377">
        <f>CFG!Q82</f>
        <v/>
      </c>
    </row>
    <row customHeight="1" ht="14.25" r="6" s="1843" spans="1:57">
      <c r="A6" s="2381" t="n"/>
      <c r="B6" s="66" t="n"/>
      <c r="C6" s="2379" t="s">
        <v>191</v>
      </c>
      <c r="D6" s="1380">
        <f>CFG!E83</f>
        <v/>
      </c>
      <c r="E6" s="1380">
        <f>CFG!F83</f>
        <v/>
      </c>
      <c r="F6" s="1380">
        <f>CFG!G83</f>
        <v/>
      </c>
      <c r="G6" s="1380">
        <f>CFG!H83</f>
        <v/>
      </c>
      <c r="H6" s="1380">
        <f>CFG!I83</f>
        <v/>
      </c>
      <c r="I6" s="1380">
        <f>CFG!J83</f>
        <v/>
      </c>
      <c r="J6" s="1380">
        <f>CFG!K83</f>
        <v/>
      </c>
      <c r="K6" s="1380">
        <f>CFG!L83</f>
        <v/>
      </c>
      <c r="L6" s="1380">
        <f>CFG!M83</f>
        <v/>
      </c>
      <c r="M6" s="1380">
        <f>CFG!N83</f>
        <v/>
      </c>
      <c r="N6" s="1380">
        <f>CFG!O83</f>
        <v/>
      </c>
      <c r="O6" s="1183">
        <f>CFG!P83</f>
        <v/>
      </c>
      <c r="P6" s="1179">
        <f>SUM(D6:O6)</f>
        <v/>
      </c>
      <c r="Q6" s="2377">
        <f>CFG!Q83</f>
        <v/>
      </c>
      <c r="R6" s="2377">
        <f>CFG!Q83</f>
        <v/>
      </c>
      <c r="S6" s="2377">
        <f>R6-P6</f>
        <v/>
      </c>
    </row>
    <row customHeight="1" ht="14.25" r="7" s="1843" spans="1:57">
      <c r="A7" s="2381" t="n"/>
      <c r="B7" s="66" t="n"/>
      <c r="C7" s="2379" t="s">
        <v>192</v>
      </c>
      <c r="D7" s="1380">
        <f>CFG!E84</f>
        <v/>
      </c>
      <c r="E7" s="1380">
        <f>CFG!F84</f>
        <v/>
      </c>
      <c r="F7" s="1380">
        <f>CFG!G84</f>
        <v/>
      </c>
      <c r="G7" s="1380">
        <f>CFG!H84</f>
        <v/>
      </c>
      <c r="H7" s="1380">
        <f>CFG!I84</f>
        <v/>
      </c>
      <c r="I7" s="1380">
        <f>CFG!J84</f>
        <v/>
      </c>
      <c r="J7" s="1380">
        <f>CFG!K84</f>
        <v/>
      </c>
      <c r="K7" s="1380">
        <f>CFG!L84</f>
        <v/>
      </c>
      <c r="L7" s="1380">
        <f>CFG!M84</f>
        <v/>
      </c>
      <c r="M7" s="1380">
        <f>CFG!N84</f>
        <v/>
      </c>
      <c r="N7" s="1380">
        <f>CFG!O84</f>
        <v/>
      </c>
      <c r="O7" s="1183">
        <f>CFG!P84</f>
        <v/>
      </c>
      <c r="P7" s="1179">
        <f>SUM(D7:O7)</f>
        <v/>
      </c>
      <c r="Q7" s="2377">
        <f>CFG!Q84</f>
        <v/>
      </c>
      <c r="R7" s="2377">
        <f>CFG!Q84</f>
        <v/>
      </c>
      <c r="S7" s="2377">
        <f>R7-P7</f>
        <v/>
      </c>
    </row>
    <row customFormat="1" customHeight="1" ht="14.25" r="8" s="2362" spans="1:57">
      <c r="A8" s="2381" t="n"/>
      <c r="B8" s="123" t="n"/>
      <c r="C8" s="2382" t="s">
        <v>193</v>
      </c>
      <c r="D8" s="1400">
        <f>'OS&amp;Travel Exp'!U2*1000+'OS&amp;Travel Exp'!U17*1000</f>
        <v/>
      </c>
      <c r="E8" s="1400">
        <f>'OS&amp;Travel Exp'!V2*1000+'OS&amp;Travel Exp'!V17*1000</f>
        <v/>
      </c>
      <c r="F8" s="1400">
        <f>'OS&amp;Travel Exp'!W2*1000+'OS&amp;Travel Exp'!W17*1000</f>
        <v/>
      </c>
      <c r="G8" s="1400">
        <f>'OS&amp;Travel Exp'!X2*1000+'OS&amp;Travel Exp'!X17*1000</f>
        <v/>
      </c>
      <c r="H8" s="1400">
        <f>'OS&amp;Travel Exp'!Y2*1000+'OS&amp;Travel Exp'!Y17*1000</f>
        <v/>
      </c>
      <c r="I8" s="1400">
        <f>'OS&amp;Travel Exp'!Z2*1000+'OS&amp;Travel Exp'!Z17*1000</f>
        <v/>
      </c>
      <c r="J8" s="1400">
        <f>'OS&amp;Travel Exp'!AA2*1000+'OS&amp;Travel Exp'!AA17*1000</f>
        <v/>
      </c>
      <c r="K8" s="1400">
        <f>'OS&amp;Travel Exp'!AB2*1000+'OS&amp;Travel Exp'!AB17*1000</f>
        <v/>
      </c>
      <c r="L8" s="1400">
        <f>'OS&amp;Travel Exp'!AC2*1000+'OS&amp;Travel Exp'!AC17*1000</f>
        <v/>
      </c>
      <c r="M8" s="1400">
        <f>'OS&amp;Travel Exp'!AD2*1000+'OS&amp;Travel Exp'!AD17*1000</f>
        <v/>
      </c>
      <c r="N8" s="1400">
        <f>'OS&amp;Travel Exp'!AE2*1000+'OS&amp;Travel Exp'!AE17*1000</f>
        <v/>
      </c>
      <c r="O8" s="1400">
        <f>'OS&amp;Travel Exp'!AF2*1000+'OS&amp;Travel Exp'!AF17*1000</f>
        <v/>
      </c>
      <c r="P8" s="1179">
        <f>SUM(D8:O8)</f>
        <v/>
      </c>
      <c r="Q8" s="2377">
        <f>CFG!Q85</f>
        <v/>
      </c>
      <c r="R8" s="2377" t="n"/>
      <c r="S8" s="2377" t="n"/>
    </row>
    <row customHeight="1" ht="14.25" r="9" s="1843" spans="1:57">
      <c r="A9" s="2381" t="n"/>
      <c r="B9" s="66" t="n"/>
      <c r="C9" s="2379" t="s">
        <v>194</v>
      </c>
      <c r="D9" s="1380">
        <f>CFG!E86</f>
        <v/>
      </c>
      <c r="E9" s="9">
        <f>CFG!F86</f>
        <v/>
      </c>
      <c r="F9" s="9">
        <f>CFG!G86</f>
        <v/>
      </c>
      <c r="G9" s="9">
        <f>CFG!H86</f>
        <v/>
      </c>
      <c r="H9" s="9">
        <f>CFG!I86</f>
        <v/>
      </c>
      <c r="I9" s="9">
        <f>CFG!J86</f>
        <v/>
      </c>
      <c r="J9" s="9">
        <f>CFG!K86</f>
        <v/>
      </c>
      <c r="K9" s="9">
        <f>CFG!L86</f>
        <v/>
      </c>
      <c r="L9" s="9">
        <f>CFG!M86</f>
        <v/>
      </c>
      <c r="M9" s="9">
        <f>CFG!N86</f>
        <v/>
      </c>
      <c r="N9" s="9">
        <f>CFG!O86</f>
        <v/>
      </c>
      <c r="O9" s="1184">
        <f>CFG!P86</f>
        <v/>
      </c>
      <c r="P9" s="1180">
        <f>SUM(D9:O9)</f>
        <v/>
      </c>
      <c r="Q9" s="2377">
        <f>CFG!Q86</f>
        <v/>
      </c>
      <c r="R9" s="2377">
        <f>CFG!Q86</f>
        <v/>
      </c>
      <c r="S9" s="2377">
        <f>R9-P9</f>
        <v/>
      </c>
    </row>
    <row customHeight="1" ht="14.25" r="10" s="1843" spans="1:57">
      <c r="A10" s="2381" t="n"/>
      <c r="B10" s="69" t="n"/>
      <c r="C10" s="2383" t="s">
        <v>195</v>
      </c>
      <c r="D10" s="96">
        <f>SUM(CFG!E89:E90)</f>
        <v/>
      </c>
      <c r="E10" s="96">
        <f>SUM(CFG!F89:F90)</f>
        <v/>
      </c>
      <c r="F10" s="96">
        <f>SUM(CFG!G89:G90)</f>
        <v/>
      </c>
      <c r="G10" s="96">
        <f>SUM(CFG!H89:H90)</f>
        <v/>
      </c>
      <c r="H10" s="96">
        <f>SUM(CFG!I89:I90)</f>
        <v/>
      </c>
      <c r="I10" s="96">
        <f>SUM(CFG!J89:J90)</f>
        <v/>
      </c>
      <c r="J10" s="96">
        <f>SUM(CFG!K89:K90)</f>
        <v/>
      </c>
      <c r="K10" s="96">
        <f>SUM(CFG!L89:L90)</f>
        <v/>
      </c>
      <c r="L10" s="96">
        <f>SUM(CFG!M89:M90)</f>
        <v/>
      </c>
      <c r="M10" s="96">
        <f>SUM(CFG!N89:N90)</f>
        <v/>
      </c>
      <c r="N10" s="96">
        <f>SUM(CFG!O89:O90)</f>
        <v/>
      </c>
      <c r="O10" s="96">
        <f>SUM(CFG!P89:P90)</f>
        <v/>
      </c>
      <c r="P10" s="1181">
        <f>SUM(D10:O10)</f>
        <v/>
      </c>
      <c r="Q10" s="2377">
        <f>SUM(CFG!Q87:Q90)</f>
        <v/>
      </c>
      <c r="R10" s="2377" t="n"/>
      <c r="S10" s="2377">
        <f>R10-P10</f>
        <v/>
      </c>
    </row>
    <row customHeight="1" ht="14.25" r="11" s="1843" spans="1:57">
      <c r="A11" s="2381" t="n"/>
      <c r="B11" s="123" t="n"/>
      <c r="C11" s="2384" t="s">
        <v>161</v>
      </c>
      <c r="D11" s="88">
        <f>CFG!E95</f>
        <v/>
      </c>
      <c r="E11" s="88">
        <f>CFG!F95</f>
        <v/>
      </c>
      <c r="F11" s="88">
        <f>CFG!G95</f>
        <v/>
      </c>
      <c r="G11" s="88">
        <f>CFG!H95</f>
        <v/>
      </c>
      <c r="H11" s="88">
        <f>CFG!I95</f>
        <v/>
      </c>
      <c r="I11" s="88">
        <f>CFG!J95</f>
        <v/>
      </c>
      <c r="J11" s="88">
        <f>CFG!K95</f>
        <v/>
      </c>
      <c r="K11" s="88">
        <f>CFG!L95</f>
        <v/>
      </c>
      <c r="L11" s="88">
        <f>CFG!M95</f>
        <v/>
      </c>
      <c r="M11" s="88">
        <f>CFG!N95</f>
        <v/>
      </c>
      <c r="N11" s="88">
        <f>CFG!O95</f>
        <v/>
      </c>
      <c r="O11" s="1156">
        <f>CFG!P95</f>
        <v/>
      </c>
      <c r="P11" s="1155">
        <f>SUM(D11:O11)</f>
        <v/>
      </c>
      <c r="Q11" s="2377" t="n"/>
      <c r="R11" s="2377">
        <f>CFG!Q95</f>
        <v/>
      </c>
      <c r="S11" s="2377">
        <f>R11-P11</f>
        <v/>
      </c>
    </row>
    <row customHeight="1" ht="14.25" r="12" s="1843" spans="1:57">
      <c r="A12" s="2381" t="n"/>
      <c r="B12" s="123" t="n"/>
      <c r="C12" s="2385" t="s">
        <v>196</v>
      </c>
      <c r="D12" s="88">
        <f>CFG!E96</f>
        <v/>
      </c>
      <c r="E12" s="88">
        <f>CFG!F96</f>
        <v/>
      </c>
      <c r="F12" s="88">
        <f>CFG!G96</f>
        <v/>
      </c>
      <c r="G12" s="88">
        <f>CFG!H96</f>
        <v/>
      </c>
      <c r="H12" s="88">
        <f>CFG!I96</f>
        <v/>
      </c>
      <c r="I12" s="88">
        <f>CFG!J96</f>
        <v/>
      </c>
      <c r="J12" s="88">
        <f>CFG!K96</f>
        <v/>
      </c>
      <c r="K12" s="88">
        <f>CFG!L96</f>
        <v/>
      </c>
      <c r="L12" s="88">
        <f>CFG!M96</f>
        <v/>
      </c>
      <c r="M12" s="88">
        <f>CFG!N96</f>
        <v/>
      </c>
      <c r="N12" s="88">
        <f>CFG!O96</f>
        <v/>
      </c>
      <c r="O12" s="1156">
        <f>CFG!P96</f>
        <v/>
      </c>
      <c r="P12" s="1155">
        <f>SUM(D12:O12)</f>
        <v/>
      </c>
      <c r="Q12" s="2377" t="n"/>
      <c r="R12" s="2377">
        <f>CFG!Q96</f>
        <v/>
      </c>
      <c r="S12" s="2377">
        <f>R12-P12</f>
        <v/>
      </c>
    </row>
    <row customHeight="1" ht="14.25" r="13" s="1843" spans="1:57">
      <c r="A13" s="2381" t="n"/>
      <c r="B13" s="123" t="n"/>
      <c r="C13" s="2386" t="s">
        <v>197</v>
      </c>
      <c r="D13" s="88">
        <f>CFG!E94</f>
        <v/>
      </c>
      <c r="E13" s="88">
        <f>CFG!F94</f>
        <v/>
      </c>
      <c r="F13" s="88">
        <f>CFG!G94</f>
        <v/>
      </c>
      <c r="G13" s="88">
        <f>CFG!H94</f>
        <v/>
      </c>
      <c r="H13" s="88">
        <f>CFG!I94</f>
        <v/>
      </c>
      <c r="I13" s="88">
        <f>CFG!J94</f>
        <v/>
      </c>
      <c r="J13" s="88">
        <f>CFG!K94</f>
        <v/>
      </c>
      <c r="K13" s="88">
        <f>CFG!L94</f>
        <v/>
      </c>
      <c r="L13" s="88">
        <f>CFG!M94</f>
        <v/>
      </c>
      <c r="M13" s="88">
        <f>CFG!N94</f>
        <v/>
      </c>
      <c r="N13" s="88">
        <f>CFG!O94</f>
        <v/>
      </c>
      <c r="O13" s="1156">
        <f>CFG!P94</f>
        <v/>
      </c>
      <c r="P13" s="1155">
        <f>SUM(D13:O13)</f>
        <v/>
      </c>
      <c r="Q13" s="2377" t="n"/>
      <c r="R13" s="2377">
        <f>CFG!Q96</f>
        <v/>
      </c>
      <c r="S13" s="2377">
        <f>R13-P13</f>
        <v/>
      </c>
    </row>
    <row customFormat="1" customHeight="1" ht="14.25" r="14" s="2362" spans="1:57">
      <c r="A14" s="2381" t="n"/>
      <c r="B14" s="123" t="n"/>
      <c r="C14" s="2386" t="s">
        <v>198</v>
      </c>
      <c r="D14" s="1298" t="n"/>
      <c r="E14" s="1298" t="n"/>
      <c r="F14" s="1298" t="n"/>
      <c r="G14" s="1298" t="n"/>
      <c r="H14" s="1298" t="n"/>
      <c r="I14" s="1298" t="n"/>
      <c r="J14" s="1298" t="n"/>
      <c r="K14" s="1298" t="n"/>
      <c r="L14" s="1298" t="n"/>
      <c r="M14" s="1298" t="n"/>
      <c r="N14" s="1298" t="n"/>
      <c r="O14" s="1348" t="n"/>
      <c r="P14" s="1155">
        <f>SUM(D14:O14)</f>
        <v/>
      </c>
      <c r="Q14" s="2377" t="n"/>
      <c r="R14" s="2377" t="n"/>
      <c r="S14" s="2377" t="n"/>
    </row>
    <row customFormat="1" customHeight="1" ht="14.25" r="15" s="2362" spans="1:57">
      <c r="A15" s="2381" t="n"/>
      <c r="B15" s="123" t="n"/>
      <c r="C15" s="2385" t="s">
        <v>199</v>
      </c>
      <c r="D15" s="1298">
        <f>CFG!E464</f>
        <v/>
      </c>
      <c r="E15" s="1298">
        <f>CFG!F464</f>
        <v/>
      </c>
      <c r="F15" s="1298">
        <f>CFG!G464</f>
        <v/>
      </c>
      <c r="G15" s="1298">
        <f>CFG!H464</f>
        <v/>
      </c>
      <c r="H15" s="1298">
        <f>CFG!I464</f>
        <v/>
      </c>
      <c r="I15" s="1298">
        <f>CFG!J464</f>
        <v/>
      </c>
      <c r="J15" s="1298">
        <f>CFG!K464</f>
        <v/>
      </c>
      <c r="K15" s="1298">
        <f>CFG!L464</f>
        <v/>
      </c>
      <c r="L15" s="1298">
        <f>CFG!M464</f>
        <v/>
      </c>
      <c r="M15" s="1298">
        <f>CFG!N464</f>
        <v/>
      </c>
      <c r="N15" s="1298">
        <f>CFG!O464</f>
        <v/>
      </c>
      <c r="O15" s="1348">
        <f>CFG!P464</f>
        <v/>
      </c>
      <c r="P15" s="1155">
        <f>SUM(D15:O15)</f>
        <v/>
      </c>
      <c r="Q15" s="2377" t="n"/>
      <c r="R15" s="2377">
        <f>SUM(P15,P46,P187,P359,P497,P600)</f>
        <v/>
      </c>
      <c r="S15" s="2377">
        <f>R15-CFG!Q465</f>
        <v/>
      </c>
    </row>
    <row customFormat="1" customHeight="1" ht="14.25" r="16" s="2362" spans="1:57">
      <c r="A16" s="2381" t="n"/>
      <c r="B16" s="123" t="n"/>
      <c r="C16" s="2385" t="s">
        <v>200</v>
      </c>
      <c r="D16" s="1298" t="n"/>
      <c r="E16" s="1298" t="n"/>
      <c r="F16" s="1298" t="n"/>
      <c r="G16" s="1298" t="n"/>
      <c r="H16" s="1298" t="n"/>
      <c r="I16" s="1298" t="n"/>
      <c r="J16" s="1298" t="n"/>
      <c r="K16" s="1298" t="n"/>
      <c r="L16" s="1298" t="n"/>
      <c r="M16" s="1298" t="n"/>
      <c r="N16" s="1298" t="n"/>
      <c r="O16" s="1348" t="n"/>
      <c r="P16" s="1155">
        <f>SUM(D16:O16)</f>
        <v/>
      </c>
      <c r="Q16" s="2377" t="n"/>
      <c r="R16" s="2377" t="n"/>
      <c r="S16" s="2377" t="n"/>
    </row>
    <row customHeight="1" ht="14.25" r="17" s="1843" spans="1:57">
      <c r="A17" s="2381" t="n"/>
      <c r="B17" s="123" t="n"/>
      <c r="C17" s="2385" t="s">
        <v>201</v>
      </c>
      <c r="D17" s="88">
        <f>-CFG!E103</f>
        <v/>
      </c>
      <c r="E17" s="88">
        <f>-CFG!F103</f>
        <v/>
      </c>
      <c r="F17" s="88">
        <f>-CFG!G103</f>
        <v/>
      </c>
      <c r="G17" s="88">
        <f>-CFG!H103</f>
        <v/>
      </c>
      <c r="H17" s="88">
        <f>-CFG!I103</f>
        <v/>
      </c>
      <c r="I17" s="88">
        <f>-CFG!J103</f>
        <v/>
      </c>
      <c r="J17" s="88">
        <f>-CFG!K103</f>
        <v/>
      </c>
      <c r="K17" s="88">
        <f>-CFG!L103</f>
        <v/>
      </c>
      <c r="L17" s="88">
        <f>-CFG!M103</f>
        <v/>
      </c>
      <c r="M17" s="88">
        <f>-CFG!N103</f>
        <v/>
      </c>
      <c r="N17" s="88">
        <f>-CFG!O103</f>
        <v/>
      </c>
      <c r="O17" s="1156">
        <f>-CFG!P103</f>
        <v/>
      </c>
      <c r="P17" s="1155">
        <f>SUM(D17:O17)</f>
        <v/>
      </c>
      <c r="Q17" s="2377" t="n"/>
      <c r="R17" s="2377" t="n"/>
      <c r="S17" s="2377">
        <f>R17-P17</f>
        <v/>
      </c>
    </row>
    <row customFormat="1" customHeight="1" ht="36.75" r="18" s="2362" spans="1:57" thickBot="1">
      <c r="A18" s="2381" t="n"/>
      <c r="B18" s="1300" t="n"/>
      <c r="C18" s="2387" t="s">
        <v>202</v>
      </c>
      <c r="D18" s="1298" t="n"/>
      <c r="E18" s="1298" t="n"/>
      <c r="F18" s="1298" t="n"/>
      <c r="G18" s="1298" t="n"/>
      <c r="H18" s="1298" t="n"/>
      <c r="I18" s="1298" t="n"/>
      <c r="J18" s="1298" t="n"/>
      <c r="K18" s="1298" t="n"/>
      <c r="L18" s="1298" t="n"/>
      <c r="M18" s="1298" t="n"/>
      <c r="N18" s="1298" t="n"/>
      <c r="O18" s="1348" t="n"/>
      <c r="P18" s="1155" t="n"/>
      <c r="Q18" s="2377" t="n"/>
      <c r="R18" s="2377" t="n"/>
      <c r="S18" s="2377" t="n"/>
    </row>
    <row customHeight="1" ht="15" r="19" s="1843" spans="1:57" thickBot="1">
      <c r="C19" s="2388" t="s">
        <v>173</v>
      </c>
      <c r="D19" s="1393">
        <f>SUM(D3:D18)</f>
        <v/>
      </c>
      <c r="E19" s="1393">
        <f>SUM(E3:E18)</f>
        <v/>
      </c>
      <c r="F19" s="1393">
        <f>SUM(F3:F18)</f>
        <v/>
      </c>
      <c r="G19" s="1393">
        <f>SUM(G3:G18)</f>
        <v/>
      </c>
      <c r="H19" s="1393">
        <f>SUM(H3:H18)</f>
        <v/>
      </c>
      <c r="I19" s="1393">
        <f>SUM(I3:I18)</f>
        <v/>
      </c>
      <c r="J19" s="1393">
        <f>SUM(J3:J18)</f>
        <v/>
      </c>
      <c r="K19" s="1393">
        <f>SUM(K3:K18)</f>
        <v/>
      </c>
      <c r="L19" s="1393">
        <f>SUM(L3:L18)</f>
        <v/>
      </c>
      <c r="M19" s="1393">
        <f>SUM(M3:M18)</f>
        <v/>
      </c>
      <c r="N19" s="1393">
        <f>SUM(N3:N18)</f>
        <v/>
      </c>
      <c r="O19" s="1393">
        <f>SUM(O3:O18)</f>
        <v/>
      </c>
      <c r="P19" s="2389">
        <f>SUM(D19:O19)</f>
        <v/>
      </c>
      <c r="Q19" s="2390">
        <f>SUM(P50,P191,P363,P501,P604)</f>
        <v/>
      </c>
      <c r="R19" s="2391">
        <f>P19-P15</f>
        <v/>
      </c>
      <c r="S19" s="2377">
        <f>SUM(CFG!Q80:Q81,CFG!Q83:Q90,CFG!Q94:Q96)-SUM(CFG!Q103:Q104)</f>
        <v/>
      </c>
    </row>
    <row customFormat="1" customHeight="1" ht="14.25" r="20" s="2362" spans="1:57">
      <c r="A20" s="2392" t="s">
        <v>203</v>
      </c>
      <c r="B20" s="2393" t="n"/>
      <c r="C20" s="2394" t="s">
        <v>204</v>
      </c>
      <c r="D20" s="1351">
        <f>SUM(D53,D194,D365,D504,D607)</f>
        <v/>
      </c>
      <c r="E20" s="1351">
        <f>SUM(E53,E194,E365,E504,E607)</f>
        <v/>
      </c>
      <c r="F20" s="1351">
        <f>SUM(F53,F194,F365,F504,F607)</f>
        <v/>
      </c>
      <c r="G20" s="1351">
        <f>SUM(G53,G194,G365,G504,G607)</f>
        <v/>
      </c>
      <c r="H20" s="1351">
        <f>SUM(H53,H194,H365,H504,H607)</f>
        <v/>
      </c>
      <c r="I20" s="1351">
        <f>SUM(I53,I194,I365,I504,I607)</f>
        <v/>
      </c>
      <c r="J20" s="1351">
        <f>SUM(J53,J194,J365,J504,J607)</f>
        <v/>
      </c>
      <c r="K20" s="1351">
        <f>SUM(K53,K194,K365,K504,K607)</f>
        <v/>
      </c>
      <c r="L20" s="1351">
        <f>SUM(L53,L194,L365,L504,L607)</f>
        <v/>
      </c>
      <c r="M20" s="1351">
        <f>SUM(M53,M194,M365,M504,M607)</f>
        <v/>
      </c>
      <c r="N20" s="1351">
        <f>SUM(N53,N194,N365,N504,N607)</f>
        <v/>
      </c>
      <c r="O20" s="1351">
        <f>SUM(O53,O194,O365,O504,O607)</f>
        <v/>
      </c>
      <c r="P20" s="1219">
        <f>SUM(D20:O20)</f>
        <v/>
      </c>
    </row>
    <row customFormat="1" customHeight="1" ht="14.25" r="21" s="2362" spans="1:57">
      <c r="B21" s="2395" t="n"/>
      <c r="C21" s="2396" t="s">
        <v>14</v>
      </c>
      <c r="D21" s="1351">
        <f>SUM(D54,D195,D366,D505,D608)</f>
        <v/>
      </c>
      <c r="E21" s="1351">
        <f>SUM(E54,E195,E366,E505,E608)</f>
        <v/>
      </c>
      <c r="F21" s="1351">
        <f>SUM(F54,F195,F366,F505,F608)</f>
        <v/>
      </c>
      <c r="G21" s="1351">
        <f>SUM(G54,G195,G366,G505,G608)</f>
        <v/>
      </c>
      <c r="H21" s="1351">
        <f>SUM(H54,H195,H366,H505,H608)</f>
        <v/>
      </c>
      <c r="I21" s="1351">
        <f>SUM(I54,I195,I366,I505,I608)</f>
        <v/>
      </c>
      <c r="J21" s="1351">
        <f>SUM(J54,J195,J366,J505,J608)</f>
        <v/>
      </c>
      <c r="K21" s="1351">
        <f>SUM(K54,K195,K366,K505,K608)</f>
        <v/>
      </c>
      <c r="L21" s="1351">
        <f>SUM(L54,L195,L366,L505,L608)</f>
        <v/>
      </c>
      <c r="M21" s="1351">
        <f>SUM(M54,M195,M366,M505,M608)</f>
        <v/>
      </c>
      <c r="N21" s="1351">
        <f>SUM(N54,N195,N366,N505,N608)</f>
        <v/>
      </c>
      <c r="O21" s="1351">
        <f>SUM(O54,O195,O366,O505,O608)</f>
        <v/>
      </c>
      <c r="P21" s="1221">
        <f>SUM(D21:O21)</f>
        <v/>
      </c>
    </row>
    <row customFormat="1" customHeight="1" ht="14.25" r="22" s="2362" spans="1:57">
      <c r="B22" s="2395" t="n"/>
      <c r="C22" s="2396" t="s">
        <v>15</v>
      </c>
      <c r="D22" s="1351">
        <f>SUM(D55,D196,D367,D506,D609)</f>
        <v/>
      </c>
      <c r="E22" s="1351">
        <f>SUM(E55,E196,E367,E506,E609)</f>
        <v/>
      </c>
      <c r="F22" s="1351">
        <f>SUM(F55,F196,F367,F506,F609)</f>
        <v/>
      </c>
      <c r="G22" s="1351">
        <f>SUM(G55,G196,G367,G506,G609)</f>
        <v/>
      </c>
      <c r="H22" s="1351">
        <f>SUM(H55,H196,H367,H506,H609)</f>
        <v/>
      </c>
      <c r="I22" s="1351">
        <f>SUM(I55,I196,I367,I506,I609)</f>
        <v/>
      </c>
      <c r="J22" s="1351">
        <f>SUM(J55,J196,J367,J506,J609)</f>
        <v/>
      </c>
      <c r="K22" s="1351">
        <f>SUM(K55,K196,K367,K506,K609)</f>
        <v/>
      </c>
      <c r="L22" s="1351">
        <f>SUM(L55,L196,L367,L506,L609)</f>
        <v/>
      </c>
      <c r="M22" s="1351">
        <f>SUM(M55,M196,M367,M506,M609)</f>
        <v/>
      </c>
      <c r="N22" s="1351">
        <f>SUM(N55,N196,N367,N506,N609)</f>
        <v/>
      </c>
      <c r="O22" s="1351">
        <f>SUM(O55,O196,O367,O506,O609)</f>
        <v/>
      </c>
      <c r="P22" s="1221">
        <f>SUM(D22:O22)</f>
        <v/>
      </c>
    </row>
    <row customFormat="1" customHeight="1" ht="14.25" r="23" s="2362" spans="1:57">
      <c r="B23" s="2395" t="n"/>
      <c r="C23" s="2396" t="s">
        <v>16</v>
      </c>
      <c r="D23" s="1351">
        <f>SUM(D56,D197,D368,D507,D610)</f>
        <v/>
      </c>
      <c r="E23" s="1351">
        <f>SUM(E56,E197,E368,E507,E610)</f>
        <v/>
      </c>
      <c r="F23" s="1351">
        <f>SUM(F56,F197,F368,F507,F610)</f>
        <v/>
      </c>
      <c r="G23" s="1351">
        <f>SUM(G56,G197,G368,G507,G610)</f>
        <v/>
      </c>
      <c r="H23" s="1351">
        <f>SUM(H56,H197,H368,H507,H610)</f>
        <v/>
      </c>
      <c r="I23" s="1351">
        <f>SUM(I56,I197,I368,I507,I610)</f>
        <v/>
      </c>
      <c r="J23" s="1351">
        <f>SUM(J56,J197,J368,J507,J610)</f>
        <v/>
      </c>
      <c r="K23" s="1351">
        <f>SUM(K56,K197,K368,K507,K610)</f>
        <v/>
      </c>
      <c r="L23" s="1351">
        <f>SUM(L56,L197,L368,L507,L610)</f>
        <v/>
      </c>
      <c r="M23" s="1351">
        <f>SUM(M56,M197,M368,M507,M610)</f>
        <v/>
      </c>
      <c r="N23" s="1351">
        <f>SUM(N56,N197,N368,N507,N610)</f>
        <v/>
      </c>
      <c r="O23" s="1351">
        <f>SUM(O56,O197,O368,O507,O610)</f>
        <v/>
      </c>
      <c r="P23" s="1221">
        <f>SUM(D23:O23)</f>
        <v/>
      </c>
    </row>
    <row customFormat="1" customHeight="1" ht="14.25" r="24" s="2362" spans="1:57">
      <c r="B24" s="2395" t="n"/>
      <c r="C24" s="2397" t="s">
        <v>205</v>
      </c>
      <c r="D24" s="1353">
        <f>SUM(D20:D23)</f>
        <v/>
      </c>
      <c r="E24" s="1353">
        <f>SUM(E20:E23)</f>
        <v/>
      </c>
      <c r="F24" s="1353">
        <f>SUM(F20:F23)</f>
        <v/>
      </c>
      <c r="G24" s="1353">
        <f>SUM(G20:G23)</f>
        <v/>
      </c>
      <c r="H24" s="1353">
        <f>SUM(H20:H23)</f>
        <v/>
      </c>
      <c r="I24" s="1353">
        <f>SUM(I20:I23)</f>
        <v/>
      </c>
      <c r="J24" s="1353">
        <f>SUM(J20:J23)</f>
        <v/>
      </c>
      <c r="K24" s="1353">
        <f>SUM(K20:K23)</f>
        <v/>
      </c>
      <c r="L24" s="1353">
        <f>SUM(L20:L23)</f>
        <v/>
      </c>
      <c r="M24" s="1353">
        <f>SUM(M20:M23)</f>
        <v/>
      </c>
      <c r="N24" s="1353">
        <f>SUM(N20:N23)</f>
        <v/>
      </c>
      <c r="O24" s="1354">
        <f>SUM(O20:O23)</f>
        <v/>
      </c>
      <c r="P24" s="1221">
        <f>SUM(P20:P23)</f>
        <v/>
      </c>
    </row>
    <row customFormat="1" customHeight="1" ht="14.25" r="25" s="2362" spans="1:57">
      <c r="B25" s="2395" t="n"/>
      <c r="C25" s="2394" t="s">
        <v>206</v>
      </c>
      <c r="D25" s="1351">
        <f>SUM(D58,D199,D370,D509,D612)</f>
        <v/>
      </c>
      <c r="E25" s="1351">
        <f>SUM(E58,E199,E370,E509,E612)</f>
        <v/>
      </c>
      <c r="F25" s="1351">
        <f>SUM(F58,F199,F370,F509,F612)</f>
        <v/>
      </c>
      <c r="G25" s="1351">
        <f>SUM(G58,G199,G370,G509,G612)</f>
        <v/>
      </c>
      <c r="H25" s="1351">
        <f>SUM(H58,H199,H370,H509,H612)</f>
        <v/>
      </c>
      <c r="I25" s="1351">
        <f>SUM(I58,I199,I370,I509,I612)</f>
        <v/>
      </c>
      <c r="J25" s="1351">
        <f>SUM(J58,J199,J370,J509,J612)</f>
        <v/>
      </c>
      <c r="K25" s="1351">
        <f>SUM(K58,K199,K370,K509,K612)</f>
        <v/>
      </c>
      <c r="L25" s="1351">
        <f>SUM(L58,L199,L370,L509,L612)</f>
        <v/>
      </c>
      <c r="M25" s="1351">
        <f>SUM(M58,M199,M370,M509,M612)</f>
        <v/>
      </c>
      <c r="N25" s="1351">
        <f>SUM(N58,N199,N370,N509,N612)</f>
        <v/>
      </c>
      <c r="O25" s="1351">
        <f>SUM(O58,O199,O370,O509,O612)</f>
        <v/>
      </c>
      <c r="P25" s="1221">
        <f>SUM(D25:O25)</f>
        <v/>
      </c>
      <c r="R25" s="2362" t="n"/>
    </row>
    <row customFormat="1" customHeight="1" ht="14.25" r="26" s="2362" spans="1:57">
      <c r="B26" s="2398" t="n"/>
      <c r="C26" s="2397" t="s">
        <v>207</v>
      </c>
      <c r="D26" s="1233">
        <f>D24-D25</f>
        <v/>
      </c>
      <c r="E26" s="1233">
        <f>E24-E25</f>
        <v/>
      </c>
      <c r="F26" s="1233">
        <f>F24-F25</f>
        <v/>
      </c>
      <c r="G26" s="1233">
        <f>G24-G25</f>
        <v/>
      </c>
      <c r="H26" s="1233">
        <f>H24-H25</f>
        <v/>
      </c>
      <c r="I26" s="1233">
        <f>I24-I25</f>
        <v/>
      </c>
      <c r="J26" s="1233">
        <f>J24-J25</f>
        <v/>
      </c>
      <c r="K26" s="1233">
        <f>K24-K25</f>
        <v/>
      </c>
      <c r="L26" s="1233">
        <f>L24-L25</f>
        <v/>
      </c>
      <c r="M26" s="1233">
        <f>M24-M25</f>
        <v/>
      </c>
      <c r="N26" s="1233">
        <f>N24-N25</f>
        <v/>
      </c>
      <c r="O26" s="1250">
        <f>O24-O25</f>
        <v/>
      </c>
      <c r="P26" s="1221">
        <f>SUM(P22:P25)</f>
        <v/>
      </c>
      <c r="R26" s="2362" t="n"/>
    </row>
    <row customFormat="1" customHeight="1" ht="14.25" r="27" s="2362" spans="1:57">
      <c r="A27" s="2392" t="s">
        <v>157</v>
      </c>
      <c r="B27" s="2395" t="n"/>
      <c r="C27" s="2399" t="s">
        <v>208</v>
      </c>
      <c r="D27" s="1395">
        <f>SUM(D60,D201,D372,D511,D614)</f>
        <v/>
      </c>
      <c r="E27" s="1395">
        <f>SUM(E60,E201,E372,E511,E614)</f>
        <v/>
      </c>
      <c r="F27" s="1395">
        <f>SUM(F60,F201,F372,F511,F614)</f>
        <v/>
      </c>
      <c r="G27" s="1395">
        <f>SUM(G60,G201,G372,G511,G614)</f>
        <v/>
      </c>
      <c r="H27" s="1395">
        <f>SUM(H60,H201,H372,H511,H614)</f>
        <v/>
      </c>
      <c r="I27" s="1395">
        <f>SUM(I60,I201,I372,I511,I614)</f>
        <v/>
      </c>
      <c r="J27" s="1395">
        <f>SUM(J60,J201,J372,J511,J614)</f>
        <v/>
      </c>
      <c r="K27" s="1395">
        <f>SUM(K60,K201,K372,K511,K614)</f>
        <v/>
      </c>
      <c r="L27" s="1395">
        <f>SUM(L60,L201,L372,L511,L614)</f>
        <v/>
      </c>
      <c r="M27" s="1395">
        <f>SUM(M60,M201,M372,M511,M614)</f>
        <v/>
      </c>
      <c r="N27" s="1395">
        <f>SUM(N60,N201,N372,N511,N614)</f>
        <v/>
      </c>
      <c r="O27" s="1395">
        <f>SUM(O60,O201,O372,O511,O614)</f>
        <v/>
      </c>
      <c r="P27" s="1219">
        <f>SUM(D27:O27)</f>
        <v/>
      </c>
    </row>
    <row customFormat="1" customHeight="1" ht="14.25" r="28" s="2362" spans="1:57">
      <c r="B28" s="2395" t="n"/>
      <c r="C28" s="2399" t="s">
        <v>209</v>
      </c>
      <c r="D28" s="1395">
        <f>SUM(D61,D202,D373,D512,D615)</f>
        <v/>
      </c>
      <c r="E28" s="1395">
        <f>SUM(E61,E202,E373,E512,E615)</f>
        <v/>
      </c>
      <c r="F28" s="1395">
        <f>SUM(F61,F202,F373,F512,F615)</f>
        <v/>
      </c>
      <c r="G28" s="1395">
        <f>SUM(G61,G202,G373,G512,G615)</f>
        <v/>
      </c>
      <c r="H28" s="1395">
        <f>SUM(H61,H202,H373,H512,H615)</f>
        <v/>
      </c>
      <c r="I28" s="1395">
        <f>SUM(I61,I202,I373,I512,I615)</f>
        <v/>
      </c>
      <c r="J28" s="1395">
        <f>SUM(J61,J202,J373,J512,J615)</f>
        <v/>
      </c>
      <c r="K28" s="1395">
        <f>SUM(K61,K202,K373,K512,K615)</f>
        <v/>
      </c>
      <c r="L28" s="1395">
        <f>SUM(L61,L202,L373,L512,L615)</f>
        <v/>
      </c>
      <c r="M28" s="1395">
        <f>SUM(M61,M202,M373,M512,M615)</f>
        <v/>
      </c>
      <c r="N28" s="1395">
        <f>SUM(N61,N202,N373,N512,N615)</f>
        <v/>
      </c>
      <c r="O28" s="1395">
        <f>SUM(O61,O202,O373,O512,O615)</f>
        <v/>
      </c>
      <c r="P28" s="1221">
        <f>SUM(D28:O28)</f>
        <v/>
      </c>
    </row>
    <row customFormat="1" customHeight="1" ht="14.25" r="29" s="2362" spans="1:57">
      <c r="B29" s="2395" t="n"/>
      <c r="C29" s="2399" t="s">
        <v>210</v>
      </c>
      <c r="D29" s="1395">
        <f>D62</f>
        <v/>
      </c>
      <c r="E29" s="1395">
        <f>E62</f>
        <v/>
      </c>
      <c r="F29" s="1395">
        <f>F62</f>
        <v/>
      </c>
      <c r="G29" s="1395">
        <f>G62</f>
        <v/>
      </c>
      <c r="H29" s="1395">
        <f>H62</f>
        <v/>
      </c>
      <c r="I29" s="1395">
        <f>I62</f>
        <v/>
      </c>
      <c r="J29" s="1395">
        <f>J62</f>
        <v/>
      </c>
      <c r="K29" s="1395">
        <f>K62</f>
        <v/>
      </c>
      <c r="L29" s="1395">
        <f>L62</f>
        <v/>
      </c>
      <c r="M29" s="1395">
        <f>M62</f>
        <v/>
      </c>
      <c r="N29" s="1395">
        <f>N62</f>
        <v/>
      </c>
      <c r="O29" s="1395">
        <f>O62</f>
        <v/>
      </c>
      <c r="P29" s="1221">
        <f>SUM(D29:O29)</f>
        <v/>
      </c>
    </row>
    <row customFormat="1" customHeight="1" ht="14.25" r="30" s="2362" spans="1:57">
      <c r="B30" s="1231" t="n"/>
      <c r="C30" s="2400" t="s">
        <v>211</v>
      </c>
      <c r="D30" s="1233">
        <f>SUM(D27:D28)</f>
        <v/>
      </c>
      <c r="E30" s="1233">
        <f>SUM(E27:E28)</f>
        <v/>
      </c>
      <c r="F30" s="1233">
        <f>SUM(F27:F28)</f>
        <v/>
      </c>
      <c r="G30" s="1233">
        <f>SUM(G27:G28)</f>
        <v/>
      </c>
      <c r="H30" s="1233">
        <f>SUM(H27:H28)</f>
        <v/>
      </c>
      <c r="I30" s="1233">
        <f>SUM(I27:I28)</f>
        <v/>
      </c>
      <c r="J30" s="1233">
        <f>SUM(J27:J28)</f>
        <v/>
      </c>
      <c r="K30" s="1233">
        <f>SUM(K27:K28)</f>
        <v/>
      </c>
      <c r="L30" s="1233">
        <f>SUM(L27:L28)</f>
        <v/>
      </c>
      <c r="M30" s="1233">
        <f>SUM(M27:M28)</f>
        <v/>
      </c>
      <c r="N30" s="1233">
        <f>SUM(N27:N28)</f>
        <v/>
      </c>
      <c r="O30" s="1233">
        <f>SUM(O27:O28)</f>
        <v/>
      </c>
      <c r="P30" s="1221">
        <f>SUM(D30:O30)</f>
        <v/>
      </c>
    </row>
    <row customHeight="1" ht="14.25" r="31" s="1843" spans="1:57">
      <c r="B31" s="2395" t="n"/>
      <c r="C31" s="2399" t="n"/>
      <c r="D31" s="1360" t="n"/>
      <c r="E31" s="125" t="n"/>
      <c r="F31" s="41" t="n"/>
      <c r="G31" s="41" t="n"/>
      <c r="H31" s="41" t="n"/>
      <c r="I31" s="41" t="n"/>
      <c r="J31" s="41" t="n"/>
      <c r="K31" s="41" t="n"/>
      <c r="L31" s="41" t="n"/>
      <c r="M31" s="41" t="n"/>
      <c r="N31" s="41" t="n"/>
      <c r="O31" s="1185" t="n"/>
      <c r="P31" s="58" t="n"/>
    </row>
    <row customHeight="1" ht="14.25" r="32" s="1843" spans="1:57">
      <c r="A32" s="2362" t="n"/>
      <c r="C32" s="2401" t="n"/>
      <c r="D32" s="62" t="n"/>
      <c r="E32" s="126" t="n"/>
      <c r="F32" s="62" t="n"/>
      <c r="G32" s="62" t="n"/>
      <c r="H32" s="62" t="n"/>
      <c r="I32" s="62" t="n"/>
      <c r="J32" s="62" t="n"/>
      <c r="K32" s="62" t="n"/>
      <c r="L32" s="62" t="n"/>
      <c r="M32" s="62" t="n"/>
      <c r="N32" s="62" t="n"/>
      <c r="O32" s="62" t="n"/>
      <c r="P32" s="2362" t="n"/>
      <c r="Q32" s="2362" t="n"/>
      <c r="R32" s="2362" t="n"/>
      <c r="S32" s="2362" t="n"/>
      <c r="T32" s="2362" t="n"/>
      <c r="U32" s="2362" t="n"/>
      <c r="V32" s="2362" t="n"/>
      <c r="W32" s="2362" t="n"/>
      <c r="X32" s="2362" t="n"/>
      <c r="Y32" s="2362" t="n"/>
      <c r="Z32" s="2362" t="n"/>
      <c r="AA32" s="2362" t="n"/>
      <c r="AB32" s="2362" t="n"/>
      <c r="AC32" s="2362" t="n"/>
      <c r="AD32" s="2362" t="n"/>
      <c r="AE32" s="2362" t="n"/>
    </row>
    <row customHeight="1" ht="15.75" r="33" s="1843" spans="1:57">
      <c r="A33" s="2370" t="n"/>
      <c r="B33" s="80" t="n"/>
      <c r="C33" s="2371" t="n"/>
      <c r="D33" s="2372" t="n">
        <v>43191</v>
      </c>
      <c r="E33" s="2372" t="n">
        <v>43221</v>
      </c>
      <c r="F33" s="2372" t="n">
        <v>43252</v>
      </c>
      <c r="G33" s="2372" t="n">
        <v>43282</v>
      </c>
      <c r="H33" s="2372" t="n">
        <v>43313</v>
      </c>
      <c r="I33" s="2372" t="n">
        <v>43344</v>
      </c>
      <c r="J33" s="2372" t="n">
        <v>43374</v>
      </c>
      <c r="K33" s="2372" t="n">
        <v>43405</v>
      </c>
      <c r="L33" s="2372" t="n">
        <v>43435</v>
      </c>
      <c r="M33" s="2372" t="n">
        <v>43466</v>
      </c>
      <c r="N33" s="2372" t="n">
        <v>43497</v>
      </c>
      <c r="O33" s="2372" t="n">
        <v>43525</v>
      </c>
      <c r="P33" s="2373" t="s">
        <v>55</v>
      </c>
      <c r="Q33" s="2362" t="n"/>
      <c r="R33" s="2374" t="s">
        <v>185</v>
      </c>
      <c r="T33" s="2362" t="n"/>
      <c r="U33" s="2362" t="n"/>
      <c r="V33" s="2362" t="n"/>
      <c r="W33" s="2362" t="n"/>
      <c r="X33" s="2362" t="n"/>
      <c r="Y33" s="2362" t="n"/>
      <c r="Z33" s="2362" t="n"/>
      <c r="AA33" s="2362" t="n"/>
      <c r="AB33" s="2362" t="n"/>
      <c r="AC33" s="2362" t="n"/>
      <c r="AD33" s="2362" t="n"/>
      <c r="AE33" s="2362" t="n"/>
    </row>
    <row customHeight="1" ht="15.75" r="34" s="1843" spans="1:57">
      <c r="A34" s="2375" t="n"/>
      <c r="B34" s="64" t="n"/>
      <c r="C34" s="2376" t="s">
        <v>187</v>
      </c>
      <c r="D34" s="1381">
        <f>CFG!E216</f>
        <v/>
      </c>
      <c r="E34" s="1381">
        <f>CFG!F216</f>
        <v/>
      </c>
      <c r="F34" s="1381">
        <f>CFG!G216</f>
        <v/>
      </c>
      <c r="G34" s="1381">
        <f>CFG!H216</f>
        <v/>
      </c>
      <c r="H34" s="1381">
        <f>CFG!I216</f>
        <v/>
      </c>
      <c r="I34" s="1381">
        <f>CFG!J216</f>
        <v/>
      </c>
      <c r="J34" s="1381">
        <f>CFG!K216</f>
        <v/>
      </c>
      <c r="K34" s="1381">
        <f>CFG!L216</f>
        <v/>
      </c>
      <c r="L34" s="1381">
        <f>CFG!M216</f>
        <v/>
      </c>
      <c r="M34" s="1381">
        <f>CFG!N216</f>
        <v/>
      </c>
      <c r="N34" s="1381">
        <f>CFG!O216</f>
        <v/>
      </c>
      <c r="O34" s="1381">
        <f>CFG!P216</f>
        <v/>
      </c>
      <c r="P34" s="1178">
        <f>SUM(D34:O34)</f>
        <v/>
      </c>
      <c r="Q34" s="2377" t="n"/>
      <c r="R34" s="2377">
        <f>SUM(P69,P104,P139)</f>
        <v/>
      </c>
      <c r="S34" s="2402">
        <f>R34-P34</f>
        <v/>
      </c>
      <c r="T34" s="2362" t="n"/>
      <c r="U34" s="2362" t="n"/>
      <c r="V34" s="2362" t="n"/>
      <c r="W34" s="2362" t="n"/>
      <c r="X34" s="2362" t="n"/>
      <c r="Y34" s="2362" t="n"/>
      <c r="Z34" s="2362" t="n"/>
      <c r="AA34" s="2362" t="n"/>
      <c r="AB34" s="2362" t="n"/>
      <c r="AC34" s="2362" t="n"/>
      <c r="AD34" s="2362" t="n"/>
      <c r="AE34" s="2362" t="n"/>
    </row>
    <row customHeight="1" ht="15.75" r="35" s="1843" spans="1:57">
      <c r="A35" s="2403" t="n">
        <v>12277</v>
      </c>
      <c r="B35" s="66" t="n"/>
      <c r="C35" s="2379" t="s">
        <v>189</v>
      </c>
      <c r="D35" s="1380">
        <f>CFG!E217</f>
        <v/>
      </c>
      <c r="E35" s="1380">
        <f>CFG!F217</f>
        <v/>
      </c>
      <c r="F35" s="1380">
        <f>CFG!G217</f>
        <v/>
      </c>
      <c r="G35" s="1380">
        <f>CFG!H217</f>
        <v/>
      </c>
      <c r="H35" s="1380">
        <f>CFG!I217</f>
        <v/>
      </c>
      <c r="I35" s="1380">
        <f>CFG!J217</f>
        <v/>
      </c>
      <c r="J35" s="1380">
        <f>CFG!K217</f>
        <v/>
      </c>
      <c r="K35" s="1380">
        <f>CFG!L217</f>
        <v/>
      </c>
      <c r="L35" s="1380">
        <f>CFG!M217</f>
        <v/>
      </c>
      <c r="M35" s="1380">
        <f>CFG!N217</f>
        <v/>
      </c>
      <c r="N35" s="1380">
        <f>CFG!O217</f>
        <v/>
      </c>
      <c r="O35" s="1380">
        <f>CFG!P217</f>
        <v/>
      </c>
      <c r="P35" s="1179">
        <f>SUM(D35:O35)</f>
        <v/>
      </c>
      <c r="Q35" s="2377" t="n"/>
      <c r="R35" s="2377">
        <f>SUM(P70,P105,P140)</f>
        <v/>
      </c>
      <c r="S35" s="2402">
        <f>R35-P35</f>
        <v/>
      </c>
      <c r="T35" s="2362" t="n"/>
      <c r="U35" s="2362" t="n"/>
      <c r="V35" s="2362" t="n"/>
      <c r="W35" s="2362" t="n"/>
      <c r="X35" s="2362" t="n"/>
      <c r="Y35" s="2362" t="n"/>
      <c r="Z35" s="2362" t="n"/>
      <c r="AA35" s="2362" t="n"/>
      <c r="AB35" s="2362" t="n"/>
      <c r="AC35" s="2362" t="n"/>
      <c r="AD35" s="2362" t="n"/>
      <c r="AE35" s="2362" t="n"/>
    </row>
    <row customHeight="1" ht="15.75" r="36" s="1843" spans="1:57">
      <c r="A36" s="2403" t="s">
        <v>94</v>
      </c>
      <c r="B36" s="66" t="n"/>
      <c r="C36" s="2379" t="s">
        <v>212</v>
      </c>
      <c r="D36" s="1380">
        <f>CFG!E397</f>
        <v/>
      </c>
      <c r="E36" s="1380">
        <f>CFG!F397</f>
        <v/>
      </c>
      <c r="F36" s="1380">
        <f>CFG!G397</f>
        <v/>
      </c>
      <c r="G36" s="1380">
        <f>CFG!H397</f>
        <v/>
      </c>
      <c r="H36" s="1380">
        <f>CFG!I397</f>
        <v/>
      </c>
      <c r="I36" s="1380">
        <f>CFG!J397</f>
        <v/>
      </c>
      <c r="J36" s="1380">
        <f>CFG!K397</f>
        <v/>
      </c>
      <c r="K36" s="1380">
        <f>CFG!L397</f>
        <v/>
      </c>
      <c r="L36" s="1380">
        <f>CFG!M397</f>
        <v/>
      </c>
      <c r="M36" s="1380">
        <f>CFG!N397</f>
        <v/>
      </c>
      <c r="N36" s="1380">
        <f>CFG!O397</f>
        <v/>
      </c>
      <c r="O36" s="1380">
        <f>CFG!P397</f>
        <v/>
      </c>
      <c r="P36" s="1380">
        <f>CFG!Q397</f>
        <v/>
      </c>
      <c r="Q36" s="2377" t="n"/>
      <c r="R36" s="2377">
        <f>SUM(P71,P106,P141)</f>
        <v/>
      </c>
      <c r="S36" s="2402">
        <f>R36-P36</f>
        <v/>
      </c>
      <c r="T36" s="2362" t="n"/>
      <c r="U36" s="2362" t="n"/>
      <c r="V36" s="2362" t="n"/>
      <c r="W36" s="2362" t="n"/>
      <c r="X36" s="2362" t="n"/>
      <c r="Y36" s="2362" t="n"/>
      <c r="Z36" s="2362" t="n"/>
      <c r="AA36" s="2362" t="n"/>
      <c r="AB36" s="2362" t="n"/>
      <c r="AC36" s="2362" t="n"/>
      <c r="AD36" s="2362" t="n"/>
      <c r="AE36" s="2362" t="n"/>
    </row>
    <row customHeight="1" ht="14.25" r="37" s="1843" spans="1:57">
      <c r="A37" s="2381" t="n"/>
      <c r="B37" s="66" t="n"/>
      <c r="C37" s="2379" t="s">
        <v>191</v>
      </c>
      <c r="D37" s="1380">
        <f>CFG!E219</f>
        <v/>
      </c>
      <c r="E37" s="1380">
        <f>CFG!F219</f>
        <v/>
      </c>
      <c r="F37" s="1380">
        <f>CFG!G219</f>
        <v/>
      </c>
      <c r="G37" s="1380">
        <f>CFG!H219</f>
        <v/>
      </c>
      <c r="H37" s="1380">
        <f>CFG!I219</f>
        <v/>
      </c>
      <c r="I37" s="1380">
        <f>CFG!J219</f>
        <v/>
      </c>
      <c r="J37" s="1380">
        <f>CFG!K219</f>
        <v/>
      </c>
      <c r="K37" s="1380">
        <f>CFG!L219</f>
        <v/>
      </c>
      <c r="L37" s="1380">
        <f>CFG!M219</f>
        <v/>
      </c>
      <c r="M37" s="1380">
        <f>CFG!N219</f>
        <v/>
      </c>
      <c r="N37" s="1380">
        <f>CFG!O219</f>
        <v/>
      </c>
      <c r="O37" s="1380">
        <f>CFG!P219</f>
        <v/>
      </c>
      <c r="P37" s="1179">
        <f>SUM(D37:O37)</f>
        <v/>
      </c>
      <c r="Q37" s="2377" t="n"/>
      <c r="R37" s="2377">
        <f>SUM(P72,P107,P142)</f>
        <v/>
      </c>
      <c r="S37" s="2402">
        <f>R37-P37</f>
        <v/>
      </c>
      <c r="T37" s="2362" t="n"/>
      <c r="U37" s="2362" t="n"/>
      <c r="V37" s="2362" t="n"/>
      <c r="W37" s="2362" t="n"/>
      <c r="X37" s="2362" t="n"/>
      <c r="Y37" s="2362" t="n"/>
      <c r="Z37" s="2362" t="n"/>
      <c r="AA37" s="2362" t="n"/>
      <c r="AB37" s="2362" t="n"/>
      <c r="AC37" s="2362" t="n"/>
      <c r="AD37" s="2362" t="n"/>
      <c r="AE37" s="2362" t="n"/>
    </row>
    <row customHeight="1" ht="15.75" r="38" s="1843" spans="1:57">
      <c r="A38" s="2375" t="s">
        <v>82</v>
      </c>
      <c r="B38" s="66" t="n"/>
      <c r="C38" s="2379" t="s">
        <v>192</v>
      </c>
      <c r="D38" s="1380">
        <f>CFG!E220</f>
        <v/>
      </c>
      <c r="E38" s="1380">
        <f>CFG!F220</f>
        <v/>
      </c>
      <c r="F38" s="1380">
        <f>CFG!G220</f>
        <v/>
      </c>
      <c r="G38" s="1380">
        <f>CFG!H220</f>
        <v/>
      </c>
      <c r="H38" s="1380">
        <f>CFG!I220</f>
        <v/>
      </c>
      <c r="I38" s="1380">
        <f>CFG!J220</f>
        <v/>
      </c>
      <c r="J38" s="1380">
        <f>CFG!K220</f>
        <v/>
      </c>
      <c r="K38" s="1380">
        <f>CFG!L220</f>
        <v/>
      </c>
      <c r="L38" s="1380">
        <f>CFG!M220</f>
        <v/>
      </c>
      <c r="M38" s="1380">
        <f>CFG!N220</f>
        <v/>
      </c>
      <c r="N38" s="1380">
        <f>CFG!O220</f>
        <v/>
      </c>
      <c r="O38" s="1380">
        <f>CFG!P220</f>
        <v/>
      </c>
      <c r="P38" s="1179">
        <f>SUM(D38:O38)</f>
        <v/>
      </c>
      <c r="Q38" s="2377" t="n"/>
      <c r="R38" s="2377">
        <f>SUM(P73,P108,P143)</f>
        <v/>
      </c>
      <c r="S38" s="2402">
        <f>R38-P38</f>
        <v/>
      </c>
      <c r="T38" s="2362" t="n"/>
      <c r="U38" s="2362" t="n"/>
      <c r="V38" s="2362" t="n"/>
      <c r="W38" s="2362" t="n"/>
      <c r="X38" s="2362" t="n"/>
      <c r="Y38" s="2362" t="n"/>
      <c r="Z38" s="2362" t="n"/>
      <c r="AA38" s="2362" t="n"/>
      <c r="AB38" s="2362" t="n"/>
      <c r="AC38" s="2362" t="n"/>
      <c r="AD38" s="2362" t="n"/>
      <c r="AE38" s="2362" t="n"/>
    </row>
    <row customHeight="1" ht="14.25" r="39" s="1843" spans="1:57">
      <c r="A39" s="2404" t="n"/>
      <c r="B39" s="66" t="n"/>
      <c r="C39" s="2379" t="s">
        <v>213</v>
      </c>
      <c r="D39" s="1380">
        <f>CFG!E222-'OS&amp;Travel Exp'!C68</f>
        <v/>
      </c>
      <c r="E39" s="1380">
        <f>CFG!F222-'OS&amp;Travel Exp'!D68</f>
        <v/>
      </c>
      <c r="F39" s="1380">
        <f>CFG!G222-'OS&amp;Travel Exp'!E68</f>
        <v/>
      </c>
      <c r="G39" s="1380">
        <f>CFG!H222-'OS&amp;Travel Exp'!F68</f>
        <v/>
      </c>
      <c r="H39" s="1380">
        <f>CFG!I222-'OS&amp;Travel Exp'!G68</f>
        <v/>
      </c>
      <c r="I39" s="1380">
        <f>CFG!J222-'OS&amp;Travel Exp'!H68</f>
        <v/>
      </c>
      <c r="J39" s="1380">
        <f>CFG!K222-'OS&amp;Travel Exp'!I68</f>
        <v/>
      </c>
      <c r="K39" s="1380">
        <f>CFG!L222-'OS&amp;Travel Exp'!J68</f>
        <v/>
      </c>
      <c r="L39" s="1380">
        <f>CFG!M222-'OS&amp;Travel Exp'!K68</f>
        <v/>
      </c>
      <c r="M39" s="1380">
        <f>CFG!N222-'OS&amp;Travel Exp'!L68</f>
        <v/>
      </c>
      <c r="N39" s="1380">
        <f>CFG!O222-'OS&amp;Travel Exp'!M68</f>
        <v/>
      </c>
      <c r="O39" s="1380">
        <f>CFG!P222-'OS&amp;Travel Exp'!N68</f>
        <v/>
      </c>
      <c r="P39" s="1180">
        <f>SUM(D39:O39)</f>
        <v/>
      </c>
      <c r="Q39" s="2377" t="n"/>
      <c r="R39" s="2377">
        <f>SUM(P74,P109,P144)</f>
        <v/>
      </c>
      <c r="S39" s="2402">
        <f>R39-P39</f>
        <v/>
      </c>
      <c r="T39" s="2362" t="n"/>
      <c r="U39" s="2362" t="n"/>
      <c r="V39" s="2362" t="n"/>
      <c r="W39" s="2362" t="n"/>
      <c r="X39" s="2362" t="n"/>
      <c r="Y39" s="2362" t="n"/>
      <c r="Z39" s="2362" t="n"/>
      <c r="AA39" s="2362" t="n"/>
      <c r="AB39" s="2362" t="n"/>
      <c r="AC39" s="2362" t="n"/>
      <c r="AD39" s="2362" t="n"/>
      <c r="AE39" s="2362" t="n"/>
    </row>
    <row customHeight="1" ht="14.25" r="40" s="1843" spans="1:57">
      <c r="A40" s="2381" t="n"/>
      <c r="B40" s="123" t="n"/>
      <c r="C40" s="2405" t="s">
        <v>195</v>
      </c>
      <c r="D40" s="1175">
        <f>SUM(CFG!E223:E226)</f>
        <v/>
      </c>
      <c r="E40" s="1175">
        <f>SUM(CFG!F223:F226)</f>
        <v/>
      </c>
      <c r="F40" s="1175">
        <f>SUM(CFG!G223:G226)</f>
        <v/>
      </c>
      <c r="G40" s="1175">
        <f>SUM(CFG!H223:H226)</f>
        <v/>
      </c>
      <c r="H40" s="1175">
        <f>SUM(CFG!I223:I226)</f>
        <v/>
      </c>
      <c r="I40" s="1175">
        <f>SUM(CFG!J223:J226)</f>
        <v/>
      </c>
      <c r="J40" s="1175">
        <f>SUM(CFG!K223:K226)</f>
        <v/>
      </c>
      <c r="K40" s="1175">
        <f>SUM(CFG!L223:L226)</f>
        <v/>
      </c>
      <c r="L40" s="1175">
        <f>SUM(CFG!M223:M226)</f>
        <v/>
      </c>
      <c r="M40" s="1175">
        <f>SUM(CFG!N223:N226)</f>
        <v/>
      </c>
      <c r="N40" s="1175">
        <f>SUM(CFG!O223:O226)</f>
        <v/>
      </c>
      <c r="O40" s="1175">
        <f>SUM(CFG!P223:P226)</f>
        <v/>
      </c>
      <c r="P40" s="1176">
        <f>SUM(D40:O40)</f>
        <v/>
      </c>
      <c r="Q40" s="2377" t="n"/>
      <c r="R40" s="2377">
        <f>SUM(P75,P110,P145)</f>
        <v/>
      </c>
      <c r="S40" s="2402">
        <f>R40-P40</f>
        <v/>
      </c>
      <c r="T40" s="2362" t="n"/>
      <c r="U40" s="2362" t="n"/>
      <c r="V40" s="2362" t="n"/>
      <c r="W40" s="2362" t="n"/>
      <c r="X40" s="2362" t="n"/>
      <c r="Y40" s="2362" t="n"/>
      <c r="Z40" s="2362" t="n"/>
      <c r="AA40" s="2362" t="n"/>
      <c r="AB40" s="2362" t="n"/>
      <c r="AC40" s="2362" t="n"/>
      <c r="AD40" s="2362" t="n"/>
      <c r="AE40" s="2362" t="n"/>
    </row>
    <row customHeight="1" ht="14.25" r="41" s="1843" spans="1:57">
      <c r="A41" s="2381" t="n"/>
      <c r="B41" s="70" t="s">
        <v>214</v>
      </c>
      <c r="C41" s="2406" t="n"/>
      <c r="D41" s="1062">
        <f>SUM(D34:D40)</f>
        <v/>
      </c>
      <c r="E41" s="1062">
        <f>SUM(E34:E40)</f>
        <v/>
      </c>
      <c r="F41" s="73">
        <f>SUM(F34:F40)</f>
        <v/>
      </c>
      <c r="G41" s="73">
        <f>SUM(G34:G40)</f>
        <v/>
      </c>
      <c r="H41" s="73">
        <f>SUM(H34:H40)</f>
        <v/>
      </c>
      <c r="I41" s="73">
        <f>SUM(I34:I40)</f>
        <v/>
      </c>
      <c r="J41" s="73">
        <f>SUM(J34:J40)</f>
        <v/>
      </c>
      <c r="K41" s="73">
        <f>SUM(K34:K40)</f>
        <v/>
      </c>
      <c r="L41" s="73">
        <f>SUM(L34:L40)</f>
        <v/>
      </c>
      <c r="M41" s="73">
        <f>SUM(M34:M40)</f>
        <v/>
      </c>
      <c r="N41" s="73">
        <f>SUM(N34:N40)</f>
        <v/>
      </c>
      <c r="O41" s="73">
        <f>SUM(O34:O40)</f>
        <v/>
      </c>
      <c r="P41" s="76">
        <f>SUM(D41:O41)</f>
        <v/>
      </c>
      <c r="R41" s="2377">
        <f>SUM(P76,P111,P146)</f>
        <v/>
      </c>
      <c r="S41" s="2362" t="n"/>
      <c r="T41" s="2362" t="n"/>
      <c r="U41" s="2362" t="n"/>
      <c r="V41" s="2362" t="n"/>
      <c r="W41" s="2362" t="n"/>
      <c r="X41" s="2362" t="n"/>
      <c r="Y41" s="2362" t="n"/>
      <c r="Z41" s="2362" t="n"/>
      <c r="AA41" s="2362" t="n"/>
      <c r="AB41" s="2362" t="n"/>
      <c r="AC41" s="2362" t="n"/>
      <c r="AD41" s="2362" t="n"/>
      <c r="AE41" s="2362" t="n"/>
    </row>
    <row customHeight="1" ht="14.25" r="42" s="1843" spans="1:57">
      <c r="A42" s="2381" t="n"/>
      <c r="B42" s="66" t="n"/>
      <c r="C42" s="2385" t="s">
        <v>161</v>
      </c>
      <c r="D42" s="87">
        <f>CFG!E231</f>
        <v/>
      </c>
      <c r="E42" s="87">
        <f>CFG!F231</f>
        <v/>
      </c>
      <c r="F42" s="87">
        <f>CFG!G231</f>
        <v/>
      </c>
      <c r="G42" s="87">
        <f>CFG!H231</f>
        <v/>
      </c>
      <c r="H42" s="87">
        <f>CFG!I231</f>
        <v/>
      </c>
      <c r="I42" s="87">
        <f>CFG!J231</f>
        <v/>
      </c>
      <c r="J42" s="87">
        <f>CFG!K231</f>
        <v/>
      </c>
      <c r="K42" s="87">
        <f>CFG!L231</f>
        <v/>
      </c>
      <c r="L42" s="87">
        <f>CFG!M231</f>
        <v/>
      </c>
      <c r="M42" s="87">
        <f>CFG!N231</f>
        <v/>
      </c>
      <c r="N42" s="87">
        <f>CFG!O231</f>
        <v/>
      </c>
      <c r="O42" s="87">
        <f>CFG!P231</f>
        <v/>
      </c>
      <c r="P42" s="85">
        <f>SUM(D42:O42)</f>
        <v/>
      </c>
      <c r="Q42" s="2377" t="n"/>
      <c r="R42" s="2377">
        <f>SUM(P77,P112,P147)</f>
        <v/>
      </c>
      <c r="S42" s="2402">
        <f>R42-P42</f>
        <v/>
      </c>
      <c r="T42" s="2362" t="n"/>
      <c r="U42" s="2362" t="n"/>
      <c r="V42" s="2362" t="n"/>
      <c r="W42" s="2362" t="n"/>
      <c r="X42" s="2362" t="n"/>
      <c r="Y42" s="2362" t="n"/>
      <c r="Z42" s="2362" t="n"/>
      <c r="AA42" s="2362" t="n"/>
      <c r="AB42" s="2362" t="n"/>
      <c r="AC42" s="2362" t="n"/>
      <c r="AD42" s="2362" t="n"/>
      <c r="AE42" s="2362" t="n"/>
    </row>
    <row customHeight="1" ht="14.25" r="43" s="1843" spans="1:57">
      <c r="A43" s="2407" t="n"/>
      <c r="B43" s="123" t="n"/>
      <c r="C43" s="2385" t="s">
        <v>215</v>
      </c>
      <c r="D43" s="87">
        <f>CFG!E232</f>
        <v/>
      </c>
      <c r="E43" s="87">
        <f>CFG!F232</f>
        <v/>
      </c>
      <c r="F43" s="87">
        <f>CFG!G232</f>
        <v/>
      </c>
      <c r="G43" s="87">
        <f>CFG!H232</f>
        <v/>
      </c>
      <c r="H43" s="87">
        <f>CFG!I232</f>
        <v/>
      </c>
      <c r="I43" s="87">
        <f>CFG!J232</f>
        <v/>
      </c>
      <c r="J43" s="87">
        <f>CFG!K232</f>
        <v/>
      </c>
      <c r="K43" s="87">
        <f>CFG!L232</f>
        <v/>
      </c>
      <c r="L43" s="87">
        <f>CFG!M232</f>
        <v/>
      </c>
      <c r="M43" s="87">
        <f>CFG!N232</f>
        <v/>
      </c>
      <c r="N43" s="87">
        <f>CFG!O232</f>
        <v/>
      </c>
      <c r="O43" s="87">
        <f>CFG!P232</f>
        <v/>
      </c>
      <c r="P43" s="85">
        <f>SUM(D43:O43)</f>
        <v/>
      </c>
      <c r="Q43" s="2377" t="n"/>
      <c r="R43" s="2377">
        <f>SUM(P78,P113,P148)</f>
        <v/>
      </c>
      <c r="S43" s="2402">
        <f>R43-P43</f>
        <v/>
      </c>
      <c r="T43" s="2362" t="n"/>
      <c r="U43" s="2362" t="n"/>
      <c r="V43" s="2362" t="n"/>
      <c r="W43" s="2362" t="n"/>
      <c r="X43" s="2362" t="n"/>
      <c r="Y43" s="2362" t="n"/>
      <c r="Z43" s="2362" t="n"/>
      <c r="AA43" s="2362" t="n"/>
      <c r="AB43" s="2362" t="n"/>
      <c r="AC43" s="2362" t="n"/>
      <c r="AD43" s="2362" t="n"/>
      <c r="AE43" s="2362" t="n"/>
    </row>
    <row customHeight="1" ht="14.25" r="44" s="1843" spans="1:57">
      <c r="A44" s="2407" t="n"/>
      <c r="B44" s="1171" t="n"/>
      <c r="C44" s="2386" t="s">
        <v>197</v>
      </c>
      <c r="D44" s="962">
        <f>CFG!E377</f>
        <v/>
      </c>
      <c r="E44" s="962">
        <f>CFG!F377</f>
        <v/>
      </c>
      <c r="F44" s="962">
        <f>CFG!G377</f>
        <v/>
      </c>
      <c r="G44" s="962">
        <f>CFG!H377</f>
        <v/>
      </c>
      <c r="H44" s="962">
        <f>CFG!I377</f>
        <v/>
      </c>
      <c r="I44" s="962">
        <f>CFG!J377</f>
        <v/>
      </c>
      <c r="J44" s="962">
        <f>CFG!K377</f>
        <v/>
      </c>
      <c r="K44" s="962">
        <f>CFG!L377</f>
        <v/>
      </c>
      <c r="L44" s="962">
        <f>CFG!M377</f>
        <v/>
      </c>
      <c r="M44" s="962">
        <f>CFG!N377</f>
        <v/>
      </c>
      <c r="N44" s="962">
        <f>CFG!O377</f>
        <v/>
      </c>
      <c r="O44" s="962">
        <f>CFG!P377</f>
        <v/>
      </c>
      <c r="P44" s="85">
        <f>SUM(D44:O44)</f>
        <v/>
      </c>
      <c r="Q44" s="2377" t="n"/>
      <c r="R44" s="2377">
        <f>SUM(P79,P114,P149)</f>
        <v/>
      </c>
      <c r="S44" s="2402">
        <f>R44-P44</f>
        <v/>
      </c>
      <c r="T44" s="2362" t="n"/>
      <c r="U44" s="2362" t="n"/>
      <c r="V44" s="2362" t="n"/>
      <c r="W44" s="2362" t="n"/>
      <c r="X44" s="2362" t="n"/>
      <c r="Y44" s="2362" t="n"/>
      <c r="Z44" s="2362" t="n"/>
      <c r="AA44" s="2362" t="n"/>
      <c r="AB44" s="2362" t="n"/>
      <c r="AC44" s="2362" t="n"/>
      <c r="AD44" s="2362" t="n"/>
      <c r="AE44" s="2362" t="n"/>
    </row>
    <row customHeight="1" ht="14.25" r="45" s="1843" spans="1:57">
      <c r="A45" s="2407" t="n"/>
      <c r="B45" s="123" t="n"/>
      <c r="C45" s="2386" t="s">
        <v>198</v>
      </c>
      <c r="D45" s="962">
        <f>CFG!E480</f>
        <v/>
      </c>
      <c r="E45" s="962">
        <f>CFG!F480</f>
        <v/>
      </c>
      <c r="F45" s="962">
        <f>CFG!G480</f>
        <v/>
      </c>
      <c r="G45" s="962">
        <f>CFG!H480</f>
        <v/>
      </c>
      <c r="H45" s="962">
        <f>CFG!I480</f>
        <v/>
      </c>
      <c r="I45" s="962">
        <f>CFG!J480</f>
        <v/>
      </c>
      <c r="J45" s="962">
        <f>CFG!K480</f>
        <v/>
      </c>
      <c r="K45" s="962">
        <f>CFG!L480</f>
        <v/>
      </c>
      <c r="L45" s="962">
        <f>CFG!M480</f>
        <v/>
      </c>
      <c r="M45" s="962">
        <f>CFG!N480</f>
        <v/>
      </c>
      <c r="N45" s="962">
        <f>CFG!O480</f>
        <v/>
      </c>
      <c r="O45" s="962">
        <f>CFG!P480</f>
        <v/>
      </c>
      <c r="P45" s="85">
        <f>SUM(D45:O45)</f>
        <v/>
      </c>
      <c r="Q45" s="2402" t="n"/>
      <c r="T45" s="2362" t="n"/>
      <c r="U45" s="2362" t="n"/>
      <c r="V45" s="2362" t="n"/>
      <c r="W45" s="2362" t="n"/>
      <c r="X45" s="2362" t="n"/>
      <c r="Y45" s="2362" t="n"/>
      <c r="Z45" s="2362" t="n"/>
      <c r="AA45" s="2362" t="n"/>
      <c r="AB45" s="2362" t="n"/>
      <c r="AC45" s="2362" t="n"/>
      <c r="AD45" s="2362" t="n"/>
      <c r="AE45" s="2362" t="n"/>
    </row>
    <row customHeight="1" ht="14.25" r="46" s="1843" spans="1:57">
      <c r="A46" s="2407" t="n"/>
      <c r="B46" s="123" t="n"/>
      <c r="C46" s="2385" t="s">
        <v>199</v>
      </c>
      <c r="D46" s="962">
        <f>CFG!E460*1/3</f>
        <v/>
      </c>
      <c r="E46" s="962">
        <f>CFG!F460*1/3</f>
        <v/>
      </c>
      <c r="F46" s="962">
        <f>CFG!G460*1/3</f>
        <v/>
      </c>
      <c r="G46" s="962">
        <f>CFG!H460*1/3</f>
        <v/>
      </c>
      <c r="H46" s="962">
        <f>CFG!I460*1/3</f>
        <v/>
      </c>
      <c r="I46" s="962">
        <f>CFG!J460*1/3</f>
        <v/>
      </c>
      <c r="J46" s="962">
        <f>CFG!K460*1/3</f>
        <v/>
      </c>
      <c r="K46" s="962">
        <f>CFG!L460*1/3</f>
        <v/>
      </c>
      <c r="L46" s="962">
        <f>CFG!M460*1/3</f>
        <v/>
      </c>
      <c r="M46" s="962">
        <f>CFG!N460*1/3</f>
        <v/>
      </c>
      <c r="N46" s="962">
        <f>CFG!O460*1/3</f>
        <v/>
      </c>
      <c r="O46" s="962">
        <f>CFG!P460*1/3</f>
        <v/>
      </c>
      <c r="P46" s="85">
        <f>SUM(D46:O46)</f>
        <v/>
      </c>
      <c r="Q46" s="2402" t="n"/>
      <c r="R46" s="2377" t="n"/>
      <c r="S46" s="2402" t="n"/>
      <c r="T46" s="2362" t="n"/>
      <c r="U46" s="2362" t="n"/>
      <c r="V46" s="2362" t="n"/>
      <c r="W46" s="2362" t="n"/>
      <c r="X46" s="2362" t="n"/>
      <c r="Y46" s="2362" t="n"/>
      <c r="Z46" s="2362" t="n"/>
      <c r="AA46" s="2362" t="n"/>
      <c r="AB46" s="2362" t="n"/>
      <c r="AC46" s="2362" t="n"/>
      <c r="AD46" s="2362" t="n"/>
      <c r="AE46" s="2362" t="n"/>
    </row>
    <row customHeight="1" ht="14.25" r="47" s="1843" spans="1:57">
      <c r="A47" s="2407" t="n"/>
      <c r="B47" s="123" t="n"/>
      <c r="C47" s="2385" t="s">
        <v>200</v>
      </c>
      <c r="D47" s="962">
        <f>CFG!E402</f>
        <v/>
      </c>
      <c r="E47" s="962">
        <f>CFG!F402</f>
        <v/>
      </c>
      <c r="F47" s="962">
        <f>CFG!G402</f>
        <v/>
      </c>
      <c r="G47" s="962">
        <f>CFG!H402</f>
        <v/>
      </c>
      <c r="H47" s="962">
        <f>CFG!I402</f>
        <v/>
      </c>
      <c r="I47" s="962">
        <f>CFG!J402</f>
        <v/>
      </c>
      <c r="J47" s="962">
        <f>CFG!K402</f>
        <v/>
      </c>
      <c r="K47" s="962">
        <f>CFG!L402</f>
        <v/>
      </c>
      <c r="L47" s="962">
        <f>CFG!M402</f>
        <v/>
      </c>
      <c r="M47" s="962">
        <f>CFG!N402</f>
        <v/>
      </c>
      <c r="N47" s="962">
        <f>CFG!O402</f>
        <v/>
      </c>
      <c r="O47" s="962">
        <f>CFG!P402</f>
        <v/>
      </c>
      <c r="P47" s="85">
        <f>SUM(D47:O47)</f>
        <v/>
      </c>
      <c r="Q47" s="2402" t="n"/>
      <c r="R47" s="2377" t="n"/>
      <c r="S47" s="2402" t="n"/>
      <c r="T47" s="2362" t="n"/>
      <c r="U47" s="2362" t="n"/>
      <c r="V47" s="2362" t="n"/>
      <c r="W47" s="2362" t="n"/>
      <c r="X47" s="2362" t="n"/>
      <c r="Y47" s="2362" t="n"/>
      <c r="Z47" s="2362" t="n"/>
      <c r="AA47" s="2362" t="n"/>
      <c r="AB47" s="2362" t="n"/>
      <c r="AC47" s="2362" t="n"/>
      <c r="AD47" s="2362" t="n"/>
      <c r="AE47" s="2362" t="n"/>
    </row>
    <row customHeight="1" ht="14.25" r="48" s="1843" spans="1:57">
      <c r="A48" s="2408" t="n"/>
      <c r="B48" s="71" t="n"/>
      <c r="C48" s="2385" t="s">
        <v>201</v>
      </c>
      <c r="D48" s="87">
        <f>-CFG!E239</f>
        <v/>
      </c>
      <c r="E48" s="87">
        <f>-CFG!F239</f>
        <v/>
      </c>
      <c r="F48" s="87">
        <f>-CFG!G239</f>
        <v/>
      </c>
      <c r="G48" s="87">
        <f>-CFG!H239</f>
        <v/>
      </c>
      <c r="H48" s="87">
        <f>-CFG!I239</f>
        <v/>
      </c>
      <c r="I48" s="87">
        <f>-CFG!J239</f>
        <v/>
      </c>
      <c r="J48" s="87">
        <f>-CFG!K239</f>
        <v/>
      </c>
      <c r="K48" s="87">
        <f>-CFG!L239</f>
        <v/>
      </c>
      <c r="L48" s="87">
        <f>-CFG!M239</f>
        <v/>
      </c>
      <c r="M48" s="87">
        <f>-CFG!N239</f>
        <v/>
      </c>
      <c r="N48" s="87">
        <f>-CFG!O239</f>
        <v/>
      </c>
      <c r="O48" s="87">
        <f>-CFG!P239</f>
        <v/>
      </c>
      <c r="P48" s="122">
        <f>SUM(D48:O48)</f>
        <v/>
      </c>
      <c r="Q48" s="2377" t="n"/>
      <c r="R48" s="2377">
        <f>SUM(P83,P118,P153)</f>
        <v/>
      </c>
      <c r="S48" s="2402">
        <f>R48-P48</f>
        <v/>
      </c>
      <c r="T48" s="2362" t="n"/>
      <c r="U48" s="2362" t="n"/>
      <c r="V48" s="2362" t="n"/>
      <c r="W48" s="2362" t="n"/>
      <c r="X48" s="2362" t="n"/>
      <c r="Y48" s="2362" t="n"/>
      <c r="Z48" s="2362" t="n"/>
      <c r="AA48" s="2362" t="n"/>
      <c r="AB48" s="2362" t="n"/>
      <c r="AC48" s="2362" t="n"/>
      <c r="AD48" s="2362" t="n"/>
      <c r="AE48" s="2362" t="n"/>
    </row>
    <row customHeight="1" ht="36" r="49" s="1843" spans="1:57">
      <c r="A49" s="2408" t="n"/>
      <c r="B49" s="1171" t="n"/>
      <c r="C49" s="2387" t="s">
        <v>202</v>
      </c>
      <c r="D49" s="92">
        <f>-CFG!E240</f>
        <v/>
      </c>
      <c r="E49" s="92">
        <f>-CFG!F240</f>
        <v/>
      </c>
      <c r="F49" s="92">
        <f>-CFG!G240</f>
        <v/>
      </c>
      <c r="G49" s="92">
        <f>-CFG!H240</f>
        <v/>
      </c>
      <c r="H49" s="92">
        <f>-CFG!I240</f>
        <v/>
      </c>
      <c r="I49" s="92">
        <f>-CFG!J240</f>
        <v/>
      </c>
      <c r="J49" s="92">
        <f>-CFG!K240</f>
        <v/>
      </c>
      <c r="K49" s="92">
        <f>-CFG!L240</f>
        <v/>
      </c>
      <c r="L49" s="92">
        <f>-CFG!M240</f>
        <v/>
      </c>
      <c r="M49" s="92">
        <f>-CFG!N240</f>
        <v/>
      </c>
      <c r="N49" s="92">
        <f>-CFG!O240</f>
        <v/>
      </c>
      <c r="O49" s="92">
        <f>-CFG!P240</f>
        <v/>
      </c>
      <c r="P49" s="93">
        <f>SUM(D49:O49)</f>
        <v/>
      </c>
      <c r="Q49" s="2377" t="n"/>
      <c r="R49" s="2377">
        <f>SUM(P84,P119,P154)</f>
        <v/>
      </c>
      <c r="S49" s="2402">
        <f>R49-P49</f>
        <v/>
      </c>
      <c r="T49" s="2362" t="n"/>
      <c r="U49" s="2362" t="n"/>
      <c r="V49" s="2362" t="n"/>
      <c r="W49" s="2362" t="n"/>
      <c r="X49" s="2362" t="n"/>
      <c r="Y49" s="2362" t="n"/>
      <c r="Z49" s="2362" t="n"/>
      <c r="AA49" s="2362" t="n"/>
      <c r="AB49" s="2362" t="n"/>
      <c r="AC49" s="2362" t="n"/>
      <c r="AD49" s="2362" t="n"/>
      <c r="AE49" s="2362" t="n"/>
    </row>
    <row customHeight="1" ht="14.25" r="50" s="1843" spans="1:57">
      <c r="A50" s="2407" t="n"/>
      <c r="B50" s="139" t="n"/>
      <c r="C50" s="2409" t="s">
        <v>216</v>
      </c>
      <c r="D50" s="128">
        <f>D$19*SUM(D$57,D$60,D$61)/SUM(D$24,D$27:D$28)</f>
        <v/>
      </c>
      <c r="E50" s="128">
        <f>E$19*SUM(E$57,E$60,E$61)/SUM(E$24,E$27:E$28)</f>
        <v/>
      </c>
      <c r="F50" s="128">
        <f>F$19*SUM(F$57,F$60,F$61)/SUM(F$24,F$27:F$28)</f>
        <v/>
      </c>
      <c r="G50" s="128">
        <f>G$19*SUM(G$57,G$60,G$61)/SUM(G$24,G$27:G$28)</f>
        <v/>
      </c>
      <c r="H50" s="128">
        <f>H$19*SUM(H$57,H$60,H$61)/SUM(H$24,H$27:H$28)</f>
        <v/>
      </c>
      <c r="I50" s="128">
        <f>I$19*SUM(I$57,I$60,I$61)/SUM(I$24,I$27:I$28)</f>
        <v/>
      </c>
      <c r="J50" s="128">
        <f>J$19*SUM(J$57,J$60,J$61)/SUM(J$24,J$27:J$28)</f>
        <v/>
      </c>
      <c r="K50" s="128">
        <f>K$19*SUM(K$57,K$60,K$61)/SUM(K$24,K$27:K$28)</f>
        <v/>
      </c>
      <c r="L50" s="128">
        <f>L$19*SUM(L$57,L$60,L$61)/SUM(L$24,L$27:L$28)</f>
        <v/>
      </c>
      <c r="M50" s="128">
        <f>M$19*SUM(M$57,M$60,M$61)/SUM(M$24,M$27:M$28)</f>
        <v/>
      </c>
      <c r="N50" s="128">
        <f>N$19*SUM(N$57,N$60,N$61)/SUM(N$24,N$27:N$28)</f>
        <v/>
      </c>
      <c r="O50" s="128">
        <f>O$19*SUM(O$57,O$60,O$61)/SUM(O$24,O$27:O$28)</f>
        <v/>
      </c>
      <c r="P50" s="129">
        <f>SUM(D50:O50)</f>
        <v/>
      </c>
      <c r="Q50" s="2362" t="n"/>
      <c r="R50" s="2362" t="n"/>
      <c r="S50" s="2362" t="n"/>
      <c r="T50" s="2362" t="n"/>
      <c r="U50" s="2362" t="n"/>
      <c r="V50" s="2362" t="n"/>
      <c r="W50" s="2362" t="n"/>
      <c r="X50" s="2362" t="n"/>
      <c r="Y50" s="2362" t="n"/>
      <c r="Z50" s="2362" t="n"/>
      <c r="AA50" s="2362" t="n"/>
      <c r="AB50" s="2362" t="n"/>
      <c r="AC50" s="2362" t="n"/>
      <c r="AD50" s="2362" t="n"/>
      <c r="AE50" s="2362" t="n"/>
    </row>
    <row customHeight="1" ht="15" r="51" s="1843" spans="1:57" thickBot="1">
      <c r="A51" s="2407" t="n"/>
      <c r="B51" s="123" t="s">
        <v>217</v>
      </c>
      <c r="C51" s="2410" t="n"/>
      <c r="D51" s="1225">
        <f>SUM(D42:D50)</f>
        <v/>
      </c>
      <c r="E51" s="1225">
        <f>SUM(E42:E50)</f>
        <v/>
      </c>
      <c r="F51" s="1225">
        <f>SUM(F42:F50)</f>
        <v/>
      </c>
      <c r="G51" s="1225">
        <f>SUM(G42:G50)</f>
        <v/>
      </c>
      <c r="H51" s="1225">
        <f>SUM(H42:H50)</f>
        <v/>
      </c>
      <c r="I51" s="1225">
        <f>SUM(I42:I50)</f>
        <v/>
      </c>
      <c r="J51" s="1225">
        <f>SUM(J42:J50)</f>
        <v/>
      </c>
      <c r="K51" s="1225">
        <f>SUM(K42:K50)</f>
        <v/>
      </c>
      <c r="L51" s="1225">
        <f>SUM(L42:L50)</f>
        <v/>
      </c>
      <c r="M51" s="1225">
        <f>SUM(M42:M50)</f>
        <v/>
      </c>
      <c r="N51" s="1225">
        <f>SUM(N42:N50)</f>
        <v/>
      </c>
      <c r="O51" s="1225">
        <f>SUM(O42:O50)</f>
        <v/>
      </c>
      <c r="P51" s="1226">
        <f>SUM(D51:O51)</f>
        <v/>
      </c>
      <c r="Q51" s="2377" t="n"/>
      <c r="R51" s="2411">
        <f>SUM(CFG!Q216:Q220,CFG!Q222:Q226,CFG!Q230:Q232)-SUM(CFG!Q239:Q240)</f>
        <v/>
      </c>
      <c r="S51" s="2412">
        <f>SUM(P41,P51)-P46-R51</f>
        <v/>
      </c>
      <c r="T51" s="2362" t="n"/>
      <c r="U51" s="2362" t="n"/>
      <c r="V51" s="2362" t="n"/>
      <c r="W51" s="2362" t="n"/>
      <c r="X51" s="2362" t="n"/>
      <c r="Y51" s="2362" t="n"/>
      <c r="Z51" s="2362" t="n"/>
      <c r="AA51" s="2362" t="n"/>
      <c r="AB51" s="2362" t="n"/>
      <c r="AC51" s="2362" t="n"/>
      <c r="AD51" s="2362" t="n"/>
      <c r="AE51" s="2362" t="n"/>
    </row>
    <row customFormat="1" customHeight="1" ht="14.25" r="52" s="2362" spans="1:57">
      <c r="A52" s="2388" t="n"/>
      <c r="B52" s="2388" t="n"/>
      <c r="C52" s="2388" t="s">
        <v>218</v>
      </c>
      <c r="D52" s="1393">
        <f>SUM(D41,D51)</f>
        <v/>
      </c>
      <c r="E52" s="1393">
        <f>SUM(E41,E51)</f>
        <v/>
      </c>
      <c r="F52" s="1393">
        <f>SUM(F41,F51)</f>
        <v/>
      </c>
      <c r="G52" s="1393">
        <f>SUM(G41,G51)</f>
        <v/>
      </c>
      <c r="H52" s="1393">
        <f>SUM(H41,H51)</f>
        <v/>
      </c>
      <c r="I52" s="1393">
        <f>SUM(I41,I51)</f>
        <v/>
      </c>
      <c r="J52" s="1393">
        <f>SUM(J41,J51)</f>
        <v/>
      </c>
      <c r="K52" s="1393">
        <f>SUM(K41,K51)</f>
        <v/>
      </c>
      <c r="L52" s="1393">
        <f>SUM(L41,L51)</f>
        <v/>
      </c>
      <c r="M52" s="1393">
        <f>SUM(M41,M51)</f>
        <v/>
      </c>
      <c r="N52" s="1393">
        <f>SUM(N41,N51)</f>
        <v/>
      </c>
      <c r="O52" s="1393">
        <f>SUM(O41,O51)</f>
        <v/>
      </c>
      <c r="P52" s="89">
        <f>SUM(P41,P51)</f>
        <v/>
      </c>
      <c r="Q52" s="2377" t="n"/>
      <c r="R52" s="2411" t="n"/>
      <c r="S52" s="2412" t="n"/>
      <c r="T52" s="2362" t="n"/>
      <c r="U52" s="2362" t="n"/>
      <c r="V52" s="2362" t="n"/>
      <c r="W52" s="2362" t="n"/>
      <c r="X52" s="2362" t="n"/>
      <c r="Y52" s="2362" t="n"/>
      <c r="Z52" s="2362" t="n"/>
      <c r="AA52" s="2362" t="n"/>
      <c r="AB52" s="2362" t="n"/>
      <c r="AC52" s="2362" t="n"/>
      <c r="AD52" s="2362" t="n"/>
      <c r="AE52" s="2362" t="n"/>
    </row>
    <row customFormat="1" customHeight="1" ht="14.25" r="53" s="2362" spans="1:57">
      <c r="A53" s="2392" t="s">
        <v>203</v>
      </c>
      <c r="B53" s="2393" t="n"/>
      <c r="C53" s="2413" t="s">
        <v>204</v>
      </c>
      <c r="D53" s="1395">
        <f>SUM(D88,D123,D158)</f>
        <v/>
      </c>
      <c r="E53" s="1395">
        <f>SUM(E88,E123,E158)</f>
        <v/>
      </c>
      <c r="F53" s="1395">
        <f>SUM(F88,F123,F158)</f>
        <v/>
      </c>
      <c r="G53" s="1395">
        <f>SUM(G88,G123,G158)</f>
        <v/>
      </c>
      <c r="H53" s="1395">
        <f>SUM(H88,H123,H158)</f>
        <v/>
      </c>
      <c r="I53" s="1395">
        <f>SUM(I88,I123,I158)</f>
        <v/>
      </c>
      <c r="J53" s="1395">
        <f>SUM(J88,J123,J158)</f>
        <v/>
      </c>
      <c r="K53" s="1395">
        <f>SUM(K88,K123,K158)</f>
        <v/>
      </c>
      <c r="L53" s="1395">
        <f>SUM(L88,L123,L158)</f>
        <v/>
      </c>
      <c r="M53" s="1395">
        <f>SUM(M88,M123,M158)</f>
        <v/>
      </c>
      <c r="N53" s="1395">
        <f>SUM(N88,N123,N158)</f>
        <v/>
      </c>
      <c r="O53" s="1395">
        <f>SUM(O88,O123,O158)</f>
        <v/>
      </c>
      <c r="P53" s="1219">
        <f>SUM(D53:O53)</f>
        <v/>
      </c>
    </row>
    <row customFormat="1" customHeight="1" ht="14.25" r="54" s="2362" spans="1:57">
      <c r="B54" s="2395" t="n"/>
      <c r="C54" s="2399" t="s">
        <v>14</v>
      </c>
      <c r="D54" s="1395">
        <f>SUM(D89,D124,D159)</f>
        <v/>
      </c>
      <c r="E54" s="1395">
        <f>SUM(E89,E124,E159)</f>
        <v/>
      </c>
      <c r="F54" s="1395">
        <f>SUM(F89,F124,F159)</f>
        <v/>
      </c>
      <c r="G54" s="1395">
        <f>SUM(G89,G124,G159)</f>
        <v/>
      </c>
      <c r="H54" s="1395">
        <f>SUM(H89,H124,H159)</f>
        <v/>
      </c>
      <c r="I54" s="1395">
        <f>SUM(I89,I124,I159)</f>
        <v/>
      </c>
      <c r="J54" s="1395">
        <f>SUM(J89,J124,J159)</f>
        <v/>
      </c>
      <c r="K54" s="1395">
        <f>SUM(K89,K124,K159)</f>
        <v/>
      </c>
      <c r="L54" s="1395">
        <f>SUM(L89,L124,L159)</f>
        <v/>
      </c>
      <c r="M54" s="1395">
        <f>SUM(M89,M124,M159)</f>
        <v/>
      </c>
      <c r="N54" s="1395">
        <f>SUM(N89,N124,N159)</f>
        <v/>
      </c>
      <c r="O54" s="1395">
        <f>SUM(O89,O124,O159)</f>
        <v/>
      </c>
      <c r="P54" s="1219">
        <f>SUM(D54:O54)</f>
        <v/>
      </c>
    </row>
    <row customFormat="1" customHeight="1" ht="14.25" r="55" s="2362" spans="1:57">
      <c r="B55" s="2395" t="n"/>
      <c r="C55" s="2399" t="s">
        <v>15</v>
      </c>
      <c r="D55" s="1395">
        <f>SUM(D90,D125,D160)</f>
        <v/>
      </c>
      <c r="E55" s="1395">
        <f>SUM(E90,E125,E160)</f>
        <v/>
      </c>
      <c r="F55" s="1395">
        <f>SUM(F90,F125,F160)</f>
        <v/>
      </c>
      <c r="G55" s="1395">
        <f>SUM(G90,G125,G160)</f>
        <v/>
      </c>
      <c r="H55" s="1395">
        <f>SUM(H90,H125,H160)</f>
        <v/>
      </c>
      <c r="I55" s="1395">
        <f>SUM(I90,I125,I160)</f>
        <v/>
      </c>
      <c r="J55" s="1395">
        <f>SUM(J90,J125,J160)</f>
        <v/>
      </c>
      <c r="K55" s="1395">
        <f>SUM(K90,K125,K160)</f>
        <v/>
      </c>
      <c r="L55" s="1395">
        <f>SUM(L90,L125,L160)</f>
        <v/>
      </c>
      <c r="M55" s="1395">
        <f>SUM(M90,M125,M160)</f>
        <v/>
      </c>
      <c r="N55" s="1395">
        <f>SUM(N90,N125,N160)</f>
        <v/>
      </c>
      <c r="O55" s="1395">
        <f>SUM(O90,O125,O160)</f>
        <v/>
      </c>
      <c r="P55" s="1219">
        <f>SUM(D55:O55)</f>
        <v/>
      </c>
    </row>
    <row customFormat="1" customHeight="1" ht="14.25" r="56" s="2362" spans="1:57">
      <c r="B56" s="2395" t="n"/>
      <c r="C56" s="2399" t="s">
        <v>16</v>
      </c>
      <c r="D56" s="1395">
        <f>SUM(D91,D126,D161)</f>
        <v/>
      </c>
      <c r="E56" s="1395">
        <f>SUM(E91,E126,E161)</f>
        <v/>
      </c>
      <c r="F56" s="1395">
        <f>SUM(F91,F126,F161)</f>
        <v/>
      </c>
      <c r="G56" s="1395">
        <f>SUM(G91,G126,G161)</f>
        <v/>
      </c>
      <c r="H56" s="1395">
        <f>SUM(H91,H126,H161)</f>
        <v/>
      </c>
      <c r="I56" s="1395">
        <f>SUM(I91,I126,I161)</f>
        <v/>
      </c>
      <c r="J56" s="1395">
        <f>SUM(J91,J126,J161)</f>
        <v/>
      </c>
      <c r="K56" s="1395">
        <f>SUM(K91,K126,K161)</f>
        <v/>
      </c>
      <c r="L56" s="1395">
        <f>SUM(L91,L126,L161)</f>
        <v/>
      </c>
      <c r="M56" s="1395">
        <f>SUM(M91,M126,M161)</f>
        <v/>
      </c>
      <c r="N56" s="1395">
        <f>SUM(N91,N126,N161)</f>
        <v/>
      </c>
      <c r="O56" s="1395">
        <f>SUM(O91,O126,O161)</f>
        <v/>
      </c>
      <c r="P56" s="1219">
        <f>SUM(D56:O56)</f>
        <v/>
      </c>
    </row>
    <row customFormat="1" customHeight="1" ht="14.25" r="57" s="2362" spans="1:57">
      <c r="B57" s="2395" t="n"/>
      <c r="C57" s="2399" t="s">
        <v>205</v>
      </c>
      <c r="D57" s="2414">
        <f>SUM(D53:D56)</f>
        <v/>
      </c>
      <c r="E57" s="192">
        <f>SUM(E53:E56)</f>
        <v/>
      </c>
      <c r="F57" s="192">
        <f>SUM(F53:F56)</f>
        <v/>
      </c>
      <c r="G57" s="192">
        <f>SUM(G53:G56)</f>
        <v/>
      </c>
      <c r="H57" s="192">
        <f>SUM(H53:H56)</f>
        <v/>
      </c>
      <c r="I57" s="192">
        <f>SUM(I53:I56)</f>
        <v/>
      </c>
      <c r="J57" s="192">
        <f>SUM(J53:J56)</f>
        <v/>
      </c>
      <c r="K57" s="192">
        <f>SUM(K53:K56)</f>
        <v/>
      </c>
      <c r="L57" s="192">
        <f>SUM(L53:L56)</f>
        <v/>
      </c>
      <c r="M57" s="192">
        <f>SUM(M53:M56)</f>
        <v/>
      </c>
      <c r="N57" s="192">
        <f>SUM(N53:N56)</f>
        <v/>
      </c>
      <c r="O57" s="192">
        <f>SUM(O53:O56)</f>
        <v/>
      </c>
      <c r="P57" s="1219">
        <f>SUM(D57:O57)</f>
        <v/>
      </c>
    </row>
    <row customHeight="1" ht="14.25" r="58" s="1843" spans="1:57">
      <c r="B58" s="2395" t="n"/>
      <c r="C58" s="2399" t="s">
        <v>206</v>
      </c>
      <c r="D58" s="1232" t="n">
        <v>1</v>
      </c>
      <c r="E58" s="1232" t="n">
        <v>1</v>
      </c>
      <c r="F58" s="1232" t="n">
        <v>1</v>
      </c>
      <c r="G58" s="1232" t="n">
        <v>1</v>
      </c>
      <c r="H58" s="1232" t="n">
        <v>1</v>
      </c>
      <c r="I58" s="1232" t="n">
        <v>1</v>
      </c>
      <c r="J58" s="1232" t="n">
        <v>1</v>
      </c>
      <c r="K58" s="1232" t="n">
        <v>1</v>
      </c>
      <c r="L58" s="1232" t="n">
        <v>1</v>
      </c>
      <c r="M58" s="1232" t="n">
        <v>1</v>
      </c>
      <c r="N58" s="1232" t="n">
        <v>1</v>
      </c>
      <c r="O58" s="1232" t="n">
        <v>1</v>
      </c>
      <c r="P58" s="1219">
        <f>SUM(D58:O58)</f>
        <v/>
      </c>
      <c r="R58" s="2362" t="n"/>
    </row>
    <row customHeight="1" ht="14.25" r="59" s="1843" spans="1:57">
      <c r="B59" s="2398" t="n"/>
      <c r="C59" s="2400" t="s">
        <v>207</v>
      </c>
      <c r="D59" s="1233">
        <f>D57-D58</f>
        <v/>
      </c>
      <c r="E59" s="1233">
        <f>E57-E58</f>
        <v/>
      </c>
      <c r="F59" s="1233">
        <f>F57-F58</f>
        <v/>
      </c>
      <c r="G59" s="1233">
        <f>G57-G58</f>
        <v/>
      </c>
      <c r="H59" s="1233">
        <f>H57-H58</f>
        <v/>
      </c>
      <c r="I59" s="1233">
        <f>I57-I58</f>
        <v/>
      </c>
      <c r="J59" s="1233">
        <f>J57-J58</f>
        <v/>
      </c>
      <c r="K59" s="1233">
        <f>K57-K58</f>
        <v/>
      </c>
      <c r="L59" s="1233">
        <f>L57-L58</f>
        <v/>
      </c>
      <c r="M59" s="1233">
        <f>M57-M58</f>
        <v/>
      </c>
      <c r="N59" s="1233">
        <f>N57-N58</f>
        <v/>
      </c>
      <c r="O59" s="1233">
        <f>O57-O58</f>
        <v/>
      </c>
      <c r="P59" s="1219">
        <f>SUM(D59:O59)</f>
        <v/>
      </c>
      <c r="R59" s="2362" t="n"/>
    </row>
    <row customFormat="1" customHeight="1" ht="14.25" r="60" s="2362" spans="1:57">
      <c r="A60" s="2415" t="s">
        <v>157</v>
      </c>
      <c r="B60" s="2395" t="n"/>
      <c r="C60" s="2399" t="s">
        <v>208</v>
      </c>
      <c r="D60" s="1395">
        <f>SUM(D95,D130,D165)</f>
        <v/>
      </c>
      <c r="E60" s="1395">
        <f>SUM(E95,E130,E165)</f>
        <v/>
      </c>
      <c r="F60" s="1395">
        <f>SUM(F95,F130,F165)</f>
        <v/>
      </c>
      <c r="G60" s="1395">
        <f>SUM(G95,G130,G165)</f>
        <v/>
      </c>
      <c r="H60" s="1395">
        <f>SUM(H95,H130,H165)</f>
        <v/>
      </c>
      <c r="I60" s="1395">
        <f>SUM(I95,I130,I165)</f>
        <v/>
      </c>
      <c r="J60" s="1395">
        <f>SUM(J95,J130,J165)</f>
        <v/>
      </c>
      <c r="K60" s="1395">
        <f>SUM(K95,K130,K165)</f>
        <v/>
      </c>
      <c r="L60" s="1395">
        <f>SUM(L95,L130,L165)</f>
        <v/>
      </c>
      <c r="M60" s="1395">
        <f>SUM(M95,M130,M165)</f>
        <v/>
      </c>
      <c r="N60" s="1395">
        <f>SUM(N95,N130,N165)</f>
        <v/>
      </c>
      <c r="O60" s="1395">
        <f>SUM(O95,O130,O165)</f>
        <v/>
      </c>
      <c r="P60" s="1219">
        <f>SUM(D60:O60)</f>
        <v/>
      </c>
      <c r="R60" s="2362" t="n"/>
    </row>
    <row customHeight="1" ht="14.25" r="61" s="1843" spans="1:57">
      <c r="B61" s="2395" t="n"/>
      <c r="C61" s="2399" t="s">
        <v>209</v>
      </c>
      <c r="D61" s="1395">
        <f>SUM(D96,D131,D166)</f>
        <v/>
      </c>
      <c r="E61" s="1395">
        <f>SUM(E96,E131,E166)</f>
        <v/>
      </c>
      <c r="F61" s="1395">
        <f>SUM(F96,F131,F166)</f>
        <v/>
      </c>
      <c r="G61" s="1395">
        <f>SUM(G96,G131,G166)</f>
        <v/>
      </c>
      <c r="H61" s="1395">
        <f>SUM(H96,H131,H166)</f>
        <v/>
      </c>
      <c r="I61" s="1395">
        <f>SUM(I96,I131,I166)</f>
        <v/>
      </c>
      <c r="J61" s="1395">
        <f>SUM(J96,J131,J166)</f>
        <v/>
      </c>
      <c r="K61" s="1395">
        <f>SUM(K96,K131,K166)</f>
        <v/>
      </c>
      <c r="L61" s="1395">
        <f>SUM(L96,L131,L166)</f>
        <v/>
      </c>
      <c r="M61" s="1395">
        <f>SUM(M96,M131,M166)</f>
        <v/>
      </c>
      <c r="N61" s="1395">
        <f>SUM(N96,N131,N166)</f>
        <v/>
      </c>
      <c r="O61" s="1395">
        <f>SUM(O96,O131,O166)</f>
        <v/>
      </c>
      <c r="P61" s="1219">
        <f>SUM(D61:O61)</f>
        <v/>
      </c>
    </row>
    <row customHeight="1" ht="14.25" r="62" s="1843" spans="1:57">
      <c r="B62" s="2395" t="n"/>
      <c r="C62" s="2399" t="s">
        <v>210</v>
      </c>
      <c r="D62" s="1395">
        <f>SUM(D97,D132,D167)</f>
        <v/>
      </c>
      <c r="E62" s="1395">
        <f>SUM(E97,E132,E167)</f>
        <v/>
      </c>
      <c r="F62" s="1395">
        <f>SUM(F97,F132,F167)</f>
        <v/>
      </c>
      <c r="G62" s="1395">
        <f>SUM(G97,G132,G167)</f>
        <v/>
      </c>
      <c r="H62" s="1395">
        <f>SUM(H97,H132,H167)</f>
        <v/>
      </c>
      <c r="I62" s="1395">
        <f>SUM(I97,I132,I167)</f>
        <v/>
      </c>
      <c r="J62" s="1395">
        <f>SUM(J97,J132,J167)</f>
        <v/>
      </c>
      <c r="K62" s="1395">
        <f>SUM(K97,K132,K167)</f>
        <v/>
      </c>
      <c r="L62" s="1395">
        <f>SUM(L97,L132,L167)</f>
        <v/>
      </c>
      <c r="M62" s="1395">
        <f>SUM(M97,M132,M167)</f>
        <v/>
      </c>
      <c r="N62" s="1395">
        <f>SUM(N97,N132,N167)</f>
        <v/>
      </c>
      <c r="O62" s="1395">
        <f>SUM(O97,O132,O167)</f>
        <v/>
      </c>
      <c r="P62" s="1219">
        <f>SUM(D62:O62)</f>
        <v/>
      </c>
    </row>
    <row customFormat="1" customHeight="1" ht="14.25" r="63" s="2362" spans="1:57">
      <c r="B63" s="1231" t="n"/>
      <c r="C63" s="2400" t="s">
        <v>211</v>
      </c>
      <c r="D63" s="1233">
        <f>SUM(D60:D62)</f>
        <v/>
      </c>
      <c r="E63" s="1233">
        <f>SUM(E61:E62)</f>
        <v/>
      </c>
      <c r="F63" s="1233">
        <f>SUM(F61:F62)</f>
        <v/>
      </c>
      <c r="G63" s="1233">
        <f>SUM(G61:G62)</f>
        <v/>
      </c>
      <c r="H63" s="1233">
        <f>SUM(H61:H62)</f>
        <v/>
      </c>
      <c r="I63" s="1233">
        <f>SUM(I61:I62)</f>
        <v/>
      </c>
      <c r="J63" s="1233">
        <f>SUM(J61:J62)</f>
        <v/>
      </c>
      <c r="K63" s="1233">
        <f>SUM(K61:K62)</f>
        <v/>
      </c>
      <c r="L63" s="1233">
        <f>SUM(L61:L62)</f>
        <v/>
      </c>
      <c r="M63" s="1233">
        <f>SUM(M61:M62)</f>
        <v/>
      </c>
      <c r="N63" s="1233">
        <f>SUM(N61:N62)</f>
        <v/>
      </c>
      <c r="O63" s="1233">
        <f>SUM(O61:O62)</f>
        <v/>
      </c>
      <c r="P63" s="1219">
        <f>SUM(D63:O63)</f>
        <v/>
      </c>
    </row>
    <row customFormat="1" customHeight="1" ht="14.25" r="64" s="2362" spans="1:57">
      <c r="A64" s="2416" t="s">
        <v>219</v>
      </c>
      <c r="B64" s="2417" t="n"/>
      <c r="C64" s="2418" t="s">
        <v>220</v>
      </c>
      <c r="D64" s="1278">
        <f>SUM(D58,D60)</f>
        <v/>
      </c>
      <c r="E64" s="1278">
        <f>SUM(E58,E60)</f>
        <v/>
      </c>
      <c r="F64" s="1278">
        <f>SUM(F58,F60)</f>
        <v/>
      </c>
      <c r="G64" s="1278">
        <f>SUM(G58,G60)</f>
        <v/>
      </c>
      <c r="H64" s="1278">
        <f>SUM(H58,H60)</f>
        <v/>
      </c>
      <c r="I64" s="1278">
        <f>SUM(I58,I60)</f>
        <v/>
      </c>
      <c r="J64" s="1278">
        <f>SUM(J58,J60)</f>
        <v/>
      </c>
      <c r="K64" s="1278">
        <f>SUM(K58,K60)</f>
        <v/>
      </c>
      <c r="L64" s="1278">
        <f>SUM(L58,L60)</f>
        <v/>
      </c>
      <c r="M64" s="1278">
        <f>SUM(M58,M60)</f>
        <v/>
      </c>
      <c r="N64" s="1278">
        <f>SUM(N58,N60)</f>
        <v/>
      </c>
      <c r="O64" s="1278">
        <f>SUM(O58,O60)</f>
        <v/>
      </c>
      <c r="P64" s="1219">
        <f>SUM(D64:O64)</f>
        <v/>
      </c>
      <c r="Q64" s="2362" t="n"/>
      <c r="R64" s="2362" t="n"/>
      <c r="S64" s="2362" t="n"/>
      <c r="T64" s="2362" t="n"/>
      <c r="U64" s="2362" t="n"/>
      <c r="V64" s="2362" t="n"/>
      <c r="W64" s="2362" t="n"/>
      <c r="X64" s="2362" t="n"/>
      <c r="Y64" s="2362" t="n"/>
      <c r="Z64" s="2362" t="n"/>
      <c r="AA64" s="2362" t="n"/>
      <c r="AB64" s="2362" t="n"/>
      <c r="AC64" s="2362" t="n"/>
      <c r="AD64" s="2362" t="n"/>
      <c r="AE64" s="2362" t="n"/>
    </row>
    <row customFormat="1" customHeight="1" ht="14.25" r="65" s="2362" spans="1:57">
      <c r="B65" s="2419" t="n"/>
      <c r="C65" s="2420" t="s">
        <v>221</v>
      </c>
      <c r="D65" s="1279">
        <f>SUM(D59,D61:D62)</f>
        <v/>
      </c>
      <c r="E65" s="1279">
        <f>SUM(E59,E61:E62)</f>
        <v/>
      </c>
      <c r="F65" s="1279">
        <f>SUM(F59,F61:F62)</f>
        <v/>
      </c>
      <c r="G65" s="1279">
        <f>SUM(G59,G61:G62)</f>
        <v/>
      </c>
      <c r="H65" s="1279">
        <f>SUM(H59,H61:H62)</f>
        <v/>
      </c>
      <c r="I65" s="1279">
        <f>SUM(I59,I61:I62)</f>
        <v/>
      </c>
      <c r="J65" s="1279">
        <f>SUM(J59,J61:J62)</f>
        <v/>
      </c>
      <c r="K65" s="1279">
        <f>SUM(K59,K61:K62)</f>
        <v/>
      </c>
      <c r="L65" s="1279">
        <f>SUM(L59,L61:L62)</f>
        <v/>
      </c>
      <c r="M65" s="1279">
        <f>SUM(M59,M61:M62)</f>
        <v/>
      </c>
      <c r="N65" s="1279">
        <f>SUM(N59,N61:N62)</f>
        <v/>
      </c>
      <c r="O65" s="1279">
        <f>SUM(O59,O61:O62)</f>
        <v/>
      </c>
      <c r="P65" s="1219">
        <f>SUM(D65:O65)</f>
        <v/>
      </c>
      <c r="Q65" s="2362" t="n"/>
      <c r="R65" s="2362" t="n"/>
      <c r="S65" s="2362" t="n"/>
      <c r="T65" s="2362" t="n"/>
      <c r="U65" s="2362" t="n"/>
      <c r="V65" s="2362" t="n"/>
      <c r="W65" s="2362" t="n"/>
      <c r="X65" s="2362" t="n"/>
      <c r="Y65" s="2362" t="n"/>
      <c r="Z65" s="2362" t="n"/>
      <c r="AA65" s="2362" t="n"/>
      <c r="AB65" s="2362" t="n"/>
      <c r="AC65" s="2362" t="n"/>
      <c r="AD65" s="2362" t="n"/>
      <c r="AE65" s="2362" t="n"/>
    </row>
    <row customFormat="1" customHeight="1" ht="14.25" r="66" s="2362" spans="1:57">
      <c r="B66" s="1274" t="n"/>
      <c r="C66" s="2421" t="s">
        <v>222</v>
      </c>
      <c r="D66" s="1280">
        <f>SUM(D64:D65)</f>
        <v/>
      </c>
      <c r="E66" s="1276">
        <f>SUM(E64:E65)</f>
        <v/>
      </c>
      <c r="F66" s="1276">
        <f>SUM(F64:F65)</f>
        <v/>
      </c>
      <c r="G66" s="1276">
        <f>SUM(G64:G65)</f>
        <v/>
      </c>
      <c r="H66" s="1276">
        <f>SUM(H64:H65)</f>
        <v/>
      </c>
      <c r="I66" s="1276">
        <f>SUM(I64:I65)</f>
        <v/>
      </c>
      <c r="J66" s="1276">
        <f>SUM(J64:J65)</f>
        <v/>
      </c>
      <c r="K66" s="1276">
        <f>SUM(K64:K65)</f>
        <v/>
      </c>
      <c r="L66" s="1276">
        <f>SUM(L64:L65)</f>
        <v/>
      </c>
      <c r="M66" s="1276">
        <f>SUM(M64:M65)</f>
        <v/>
      </c>
      <c r="N66" s="1276">
        <f>SUM(N64:N65)</f>
        <v/>
      </c>
      <c r="O66" s="1277">
        <f>SUM(O64:O65)</f>
        <v/>
      </c>
      <c r="P66" s="1219">
        <f>SUM(D66:O66)</f>
        <v/>
      </c>
      <c r="Q66" s="2362" t="n"/>
      <c r="R66" s="2362" t="n"/>
      <c r="S66" s="2362" t="n"/>
      <c r="T66" s="2362" t="n"/>
      <c r="U66" s="2362" t="n"/>
      <c r="V66" s="2362" t="n"/>
      <c r="W66" s="2362" t="n"/>
      <c r="X66" s="2362" t="n"/>
      <c r="Y66" s="2362" t="n"/>
      <c r="Z66" s="2362" t="n"/>
      <c r="AA66" s="2362" t="n"/>
      <c r="AB66" s="2362" t="n"/>
      <c r="AC66" s="2362" t="n"/>
      <c r="AD66" s="2362" t="n"/>
      <c r="AE66" s="2362" t="n"/>
    </row>
    <row customHeight="1" ht="14.25" r="67" s="1843" spans="1:57">
      <c r="A67" s="2422" t="n"/>
      <c r="B67" s="2395" t="n"/>
      <c r="C67" s="2420" t="n"/>
      <c r="D67" s="1200" t="n"/>
      <c r="E67" s="1200" t="n"/>
      <c r="F67" s="1200" t="n"/>
      <c r="G67" s="1200" t="n"/>
      <c r="H67" s="1200" t="n"/>
      <c r="I67" s="1200" t="n"/>
      <c r="J67" s="1200" t="n"/>
      <c r="K67" s="1200" t="n"/>
      <c r="L67" s="1200" t="n"/>
      <c r="M67" s="1200" t="n"/>
      <c r="N67" s="1200" t="n"/>
      <c r="O67" s="1200" t="n"/>
      <c r="P67" s="2422" t="n"/>
      <c r="Q67" s="2362" t="n"/>
      <c r="R67" s="2362" t="n"/>
      <c r="S67" s="2362" t="n"/>
      <c r="T67" s="2362" t="n"/>
      <c r="U67" s="2362" t="n"/>
      <c r="V67" s="2362" t="n"/>
      <c r="W67" s="2362" t="n"/>
      <c r="X67" s="2362" t="n"/>
      <c r="Y67" s="2362" t="n"/>
      <c r="Z67" s="2362" t="n"/>
      <c r="AA67" s="2362" t="n"/>
      <c r="AB67" s="2362" t="n"/>
      <c r="AC67" s="2362" t="n"/>
      <c r="AD67" s="2362" t="n"/>
      <c r="AE67" s="2362" t="n"/>
    </row>
    <row customFormat="1" customHeight="1" ht="15.75" r="68" s="2362" spans="1:57">
      <c r="A68" s="2370" t="n"/>
      <c r="B68" s="80" t="n"/>
      <c r="C68" s="2371" t="n"/>
      <c r="D68" s="2372" t="n">
        <v>43191</v>
      </c>
      <c r="E68" s="2372" t="n">
        <v>43221</v>
      </c>
      <c r="F68" s="2372" t="n">
        <v>43252</v>
      </c>
      <c r="G68" s="2372" t="n">
        <v>43282</v>
      </c>
      <c r="H68" s="2372" t="n">
        <v>43313</v>
      </c>
      <c r="I68" s="2372" t="n">
        <v>43344</v>
      </c>
      <c r="J68" s="2372" t="n">
        <v>43374</v>
      </c>
      <c r="K68" s="2372" t="n">
        <v>43405</v>
      </c>
      <c r="L68" s="2372" t="n">
        <v>43435</v>
      </c>
      <c r="M68" s="2372" t="n">
        <v>43466</v>
      </c>
      <c r="N68" s="2372" t="n">
        <v>43497</v>
      </c>
      <c r="O68" s="2372" t="n">
        <v>43525</v>
      </c>
      <c r="P68" s="2373" t="s">
        <v>55</v>
      </c>
      <c r="Q68" s="2362" t="n"/>
      <c r="R68" s="2374" t="n"/>
      <c r="T68" s="2362" t="n"/>
      <c r="U68" s="2362" t="n"/>
      <c r="V68" s="2362" t="n"/>
      <c r="W68" s="2362" t="n"/>
      <c r="X68" s="2362" t="n"/>
      <c r="Y68" s="2362" t="n"/>
      <c r="Z68" s="2362" t="n"/>
      <c r="AA68" s="2362" t="n"/>
      <c r="AB68" s="2362" t="n"/>
      <c r="AC68" s="2362" t="n"/>
      <c r="AD68" s="2362" t="n"/>
      <c r="AE68" s="2362" t="n"/>
    </row>
    <row customFormat="1" customHeight="1" ht="15.75" r="69" s="2362" spans="1:57">
      <c r="A69" s="2375" t="n"/>
      <c r="B69" s="64" t="n"/>
      <c r="C69" s="2376" t="s">
        <v>187</v>
      </c>
      <c r="D69" s="1381">
        <f>D88*D642+D89*D643+D90*D644+D91*D645</f>
        <v/>
      </c>
      <c r="E69" s="1381">
        <f>E88*E642+E89*E643+E90*E644+E91*E645</f>
        <v/>
      </c>
      <c r="F69" s="1381">
        <f>F88*F642+F89*F643+F90*F644+F91*F645</f>
        <v/>
      </c>
      <c r="G69" s="1381">
        <f>G88*G642+G89*G643+G90*G644+G91*G645</f>
        <v/>
      </c>
      <c r="H69" s="1381">
        <f>H88*H642+H89*H643+H90*H644+H91*H645</f>
        <v/>
      </c>
      <c r="I69" s="1381">
        <f>I88*I642+I89*I643+I90*I644+I91*I645</f>
        <v/>
      </c>
      <c r="J69" s="1381">
        <f>J88*J642+J89*J643+J90*J644+J91*J645</f>
        <v/>
      </c>
      <c r="K69" s="1381">
        <f>K88*K642+K89*K643+K90*K644+K91*K645</f>
        <v/>
      </c>
      <c r="L69" s="1381">
        <f>L88*L642+L89*L643+L90*L644+L91*L645</f>
        <v/>
      </c>
      <c r="M69" s="1381">
        <f>M88*M642+M89*M643+M90*M644+M91*M645</f>
        <v/>
      </c>
      <c r="N69" s="1381">
        <f>N88*N642+N89*N643+N90*N644+N91*N645</f>
        <v/>
      </c>
      <c r="O69" s="1381">
        <f>O88*O642+O89*O643+O90*O644+O91*O645</f>
        <v/>
      </c>
      <c r="P69" s="1178">
        <f>SUM(D69:O69)</f>
        <v/>
      </c>
      <c r="Q69" s="2377" t="n"/>
      <c r="R69" s="2377" t="n"/>
      <c r="S69" s="2402" t="n"/>
      <c r="T69" s="2362" t="n"/>
      <c r="U69" s="2362" t="n"/>
      <c r="V69" s="2362" t="n"/>
      <c r="W69" s="2362" t="n"/>
      <c r="X69" s="2362" t="n"/>
      <c r="Y69" s="2362" t="n"/>
      <c r="Z69" s="2362" t="n"/>
      <c r="AA69" s="2362" t="n"/>
      <c r="AB69" s="2362" t="n"/>
      <c r="AC69" s="2362" t="n"/>
      <c r="AD69" s="2362" t="n"/>
      <c r="AE69" s="2362" t="n"/>
    </row>
    <row customFormat="1" customHeight="1" ht="15.75" r="70" s="2362" spans="1:57">
      <c r="A70" s="2403" t="n">
        <v>12277</v>
      </c>
      <c r="B70" s="66" t="n"/>
      <c r="C70" s="2379" t="s">
        <v>189</v>
      </c>
      <c r="D70" s="1380">
        <f>D35*D$92/D$57</f>
        <v/>
      </c>
      <c r="E70" s="1380">
        <f>E35*E$92/E$57</f>
        <v/>
      </c>
      <c r="F70" s="1380">
        <f>F35*F$92/F$57</f>
        <v/>
      </c>
      <c r="G70" s="1380">
        <f>G35*G$92/G$57</f>
        <v/>
      </c>
      <c r="H70" s="1380">
        <f>H35*H$92/H$57</f>
        <v/>
      </c>
      <c r="I70" s="1380">
        <f>I35*I$92/I$57</f>
        <v/>
      </c>
      <c r="J70" s="1380">
        <f>J35*J$92/J$57</f>
        <v/>
      </c>
      <c r="K70" s="1380">
        <f>K35*K$92/K$57</f>
        <v/>
      </c>
      <c r="L70" s="1380">
        <f>L35*L$92/L$57</f>
        <v/>
      </c>
      <c r="M70" s="1380">
        <f>M35*M$92/M$57</f>
        <v/>
      </c>
      <c r="N70" s="1380">
        <f>N35*N$92/N$57</f>
        <v/>
      </c>
      <c r="O70" s="1380">
        <f>O35*O$92/O$57</f>
        <v/>
      </c>
      <c r="P70" s="1179">
        <f>SUM(D70:O70)</f>
        <v/>
      </c>
      <c r="Q70" s="2377" t="n"/>
      <c r="R70" s="2377" t="n"/>
      <c r="S70" s="2402" t="n"/>
      <c r="T70" s="2362" t="n"/>
      <c r="U70" s="2362" t="n"/>
      <c r="V70" s="2362" t="n"/>
      <c r="W70" s="2362" t="n"/>
      <c r="X70" s="2362" t="n"/>
      <c r="Y70" s="2362" t="n"/>
      <c r="Z70" s="2362" t="n"/>
      <c r="AA70" s="2362" t="n"/>
      <c r="AB70" s="2362" t="n"/>
      <c r="AC70" s="2362" t="n"/>
      <c r="AD70" s="2362" t="n"/>
      <c r="AE70" s="2362" t="n"/>
    </row>
    <row customFormat="1" customHeight="1" ht="15.75" r="71" s="2362" spans="1:57">
      <c r="A71" s="2403" t="s">
        <v>94</v>
      </c>
      <c r="B71" s="66" t="n"/>
      <c r="C71" s="2379" t="s">
        <v>212</v>
      </c>
      <c r="D71" s="1376" t="n">
        <v>0</v>
      </c>
      <c r="E71" s="1376" t="n">
        <v>0</v>
      </c>
      <c r="F71" s="1376" t="n">
        <v>0</v>
      </c>
      <c r="G71" s="1376" t="n">
        <v>0</v>
      </c>
      <c r="H71" s="1376" t="n">
        <v>0</v>
      </c>
      <c r="I71" s="1376" t="n">
        <v>0</v>
      </c>
      <c r="J71" s="1376" t="n">
        <v>0</v>
      </c>
      <c r="K71" s="1376" t="n">
        <v>0</v>
      </c>
      <c r="L71" s="1376" t="n">
        <v>0</v>
      </c>
      <c r="M71" s="1376" t="n">
        <v>0</v>
      </c>
      <c r="N71" s="1376" t="n">
        <v>0</v>
      </c>
      <c r="O71" s="1376" t="n">
        <v>0</v>
      </c>
      <c r="P71" s="1179">
        <f>SUM(D71:O71)</f>
        <v/>
      </c>
      <c r="Q71" s="2377" t="n"/>
      <c r="R71" s="2377" t="n"/>
      <c r="S71" s="2402" t="n"/>
      <c r="T71" s="2362" t="n"/>
      <c r="U71" s="2362" t="n"/>
      <c r="V71" s="2362" t="n"/>
      <c r="W71" s="2362" t="n"/>
      <c r="X71" s="2362" t="n"/>
      <c r="Y71" s="2362" t="n"/>
      <c r="Z71" s="2362" t="n"/>
      <c r="AA71" s="2362" t="n"/>
      <c r="AB71" s="2362" t="n"/>
      <c r="AC71" s="2362" t="n"/>
      <c r="AD71" s="2362" t="n"/>
      <c r="AE71" s="2362" t="n"/>
    </row>
    <row customFormat="1" customHeight="1" ht="14.25" r="72" s="2362" spans="1:57">
      <c r="A72" s="2381" t="n"/>
      <c r="B72" s="66" t="n"/>
      <c r="C72" s="2379" t="s">
        <v>191</v>
      </c>
      <c r="D72" s="1380">
        <f>D37*D$92/D$57</f>
        <v/>
      </c>
      <c r="E72" s="1380">
        <f>E37*E$92/E$57</f>
        <v/>
      </c>
      <c r="F72" s="1380">
        <f>F37*F$92/F$57</f>
        <v/>
      </c>
      <c r="G72" s="1380">
        <f>G37*G$92/G$57</f>
        <v/>
      </c>
      <c r="H72" s="1380">
        <f>H37*H$92/H$57</f>
        <v/>
      </c>
      <c r="I72" s="1380">
        <f>I37*I$92/I$57</f>
        <v/>
      </c>
      <c r="J72" s="1380">
        <f>J37*J$92/J$57</f>
        <v/>
      </c>
      <c r="K72" s="1380">
        <f>K37*K$92/K$57</f>
        <v/>
      </c>
      <c r="L72" s="1380">
        <f>L37*L$92/L$57</f>
        <v/>
      </c>
      <c r="M72" s="1380">
        <f>M37*M$92/M$57</f>
        <v/>
      </c>
      <c r="N72" s="1380">
        <f>N37*N$92/N$57</f>
        <v/>
      </c>
      <c r="O72" s="1380">
        <f>O37*O$92/O$57</f>
        <v/>
      </c>
      <c r="P72" s="1179">
        <f>SUM(D72:O72)</f>
        <v/>
      </c>
      <c r="Q72" s="2377" t="n"/>
      <c r="R72" s="2377" t="n"/>
      <c r="S72" s="2402" t="n"/>
      <c r="T72" s="2362" t="n"/>
      <c r="U72" s="2362" t="n"/>
      <c r="V72" s="2362" t="n"/>
      <c r="W72" s="2362" t="n"/>
      <c r="X72" s="2362" t="n"/>
      <c r="Y72" s="2362" t="n"/>
      <c r="Z72" s="2362" t="n"/>
      <c r="AA72" s="2362" t="n"/>
      <c r="AB72" s="2362" t="n"/>
      <c r="AC72" s="2362" t="n"/>
      <c r="AD72" s="2362" t="n"/>
      <c r="AE72" s="2362" t="n"/>
    </row>
    <row customFormat="1" customHeight="1" ht="15.75" r="73" s="2362" spans="1:57">
      <c r="A73" s="2375" t="s">
        <v>82</v>
      </c>
      <c r="B73" s="66" t="n"/>
      <c r="C73" s="2379" t="s">
        <v>192</v>
      </c>
      <c r="D73" s="1380">
        <f>D38*D$92/D$57</f>
        <v/>
      </c>
      <c r="E73" s="1380">
        <f>E38*E$92/E$57</f>
        <v/>
      </c>
      <c r="F73" s="1380">
        <f>F38*F$92/F$57</f>
        <v/>
      </c>
      <c r="G73" s="1380">
        <f>G38*G$92/G$57</f>
        <v/>
      </c>
      <c r="H73" s="1380">
        <f>H38*H$92/H$57</f>
        <v/>
      </c>
      <c r="I73" s="1380">
        <f>I38*I$92/I$57</f>
        <v/>
      </c>
      <c r="J73" s="1380">
        <f>J38*J$92/J$57</f>
        <v/>
      </c>
      <c r="K73" s="1380">
        <f>K38*K$92/K$57</f>
        <v/>
      </c>
      <c r="L73" s="1380">
        <f>L38*L$92/L$57</f>
        <v/>
      </c>
      <c r="M73" s="1380">
        <f>M38*M$92/M$57</f>
        <v/>
      </c>
      <c r="N73" s="1380">
        <f>N38*N$92/N$57</f>
        <v/>
      </c>
      <c r="O73" s="1380">
        <f>O38*O$92/O$57</f>
        <v/>
      </c>
      <c r="P73" s="1179">
        <f>SUM(D73:O73)</f>
        <v/>
      </c>
      <c r="Q73" s="2377" t="n"/>
      <c r="R73" s="2377" t="n"/>
      <c r="S73" s="2402" t="n"/>
      <c r="T73" s="2362" t="n"/>
      <c r="U73" s="2362" t="n"/>
      <c r="V73" s="2362" t="n"/>
      <c r="W73" s="2362" t="n"/>
      <c r="X73" s="2362" t="n"/>
      <c r="Y73" s="2362" t="n"/>
      <c r="Z73" s="2362" t="n"/>
      <c r="AA73" s="2362" t="n"/>
      <c r="AB73" s="2362" t="n"/>
      <c r="AC73" s="2362" t="n"/>
      <c r="AD73" s="2362" t="n"/>
      <c r="AE73" s="2362" t="n"/>
    </row>
    <row customFormat="1" customHeight="1" ht="14.25" r="74" s="2362" spans="1:57">
      <c r="A74" s="2404" t="s">
        <v>92</v>
      </c>
      <c r="B74" s="66" t="n"/>
      <c r="C74" s="2379" t="s">
        <v>213</v>
      </c>
      <c r="D74" s="1380">
        <f>D39*D$92/D$57</f>
        <v/>
      </c>
      <c r="E74" s="1380">
        <f>E39*E$92/E$57</f>
        <v/>
      </c>
      <c r="F74" s="1380">
        <f>F39*F$92/F$57</f>
        <v/>
      </c>
      <c r="G74" s="1380">
        <f>G39*G$92/G$57</f>
        <v/>
      </c>
      <c r="H74" s="1380">
        <f>H39*H$92/H$57</f>
        <v/>
      </c>
      <c r="I74" s="1380">
        <f>I39*I$92/I$57</f>
        <v/>
      </c>
      <c r="J74" s="1380">
        <f>J39*J$92/J$57</f>
        <v/>
      </c>
      <c r="K74" s="1380">
        <f>K39*K$92/K$57</f>
        <v/>
      </c>
      <c r="L74" s="1380">
        <f>L39*L$92/L$57</f>
        <v/>
      </c>
      <c r="M74" s="1380">
        <f>M39*M$92/M$57</f>
        <v/>
      </c>
      <c r="N74" s="1380">
        <f>N39*N$92/N$57</f>
        <v/>
      </c>
      <c r="O74" s="1380">
        <f>O39*O$92/O$57</f>
        <v/>
      </c>
      <c r="P74" s="1179">
        <f>SUM(D74:O74)</f>
        <v/>
      </c>
      <c r="Q74" s="2377" t="n"/>
      <c r="R74" s="2377" t="n"/>
      <c r="S74" s="2402" t="n"/>
      <c r="T74" s="2362" t="n"/>
      <c r="U74" s="2362" t="n"/>
      <c r="V74" s="2362" t="n"/>
      <c r="W74" s="2362" t="n"/>
      <c r="X74" s="2362" t="n"/>
      <c r="Y74" s="2362" t="n"/>
      <c r="Z74" s="2362" t="n"/>
      <c r="AA74" s="2362" t="n"/>
      <c r="AB74" s="2362" t="n"/>
      <c r="AC74" s="2362" t="n"/>
      <c r="AD74" s="2362" t="n"/>
      <c r="AE74" s="2362" t="n"/>
    </row>
    <row customFormat="1" customHeight="1" ht="14.25" r="75" s="2362" spans="1:57">
      <c r="A75" s="2381" t="n"/>
      <c r="B75" s="123" t="n"/>
      <c r="C75" s="2405" t="s">
        <v>195</v>
      </c>
      <c r="D75" s="1175">
        <f>D40*D$92/D$57</f>
        <v/>
      </c>
      <c r="E75" s="1175">
        <f>E40*E$92/E$57</f>
        <v/>
      </c>
      <c r="F75" s="1175">
        <f>F40*F$92/F$57</f>
        <v/>
      </c>
      <c r="G75" s="1175">
        <f>G40*G$92/G$57</f>
        <v/>
      </c>
      <c r="H75" s="1175">
        <f>H40*H$92/H$57</f>
        <v/>
      </c>
      <c r="I75" s="1175">
        <f>I40*I$92/I$57</f>
        <v/>
      </c>
      <c r="J75" s="1175">
        <f>J40*J$92/J$57</f>
        <v/>
      </c>
      <c r="K75" s="1175">
        <f>K40*K$92/K$57</f>
        <v/>
      </c>
      <c r="L75" s="1175">
        <f>L40*L$92/L$57</f>
        <v/>
      </c>
      <c r="M75" s="1175">
        <f>M40*M$92/M$57</f>
        <v/>
      </c>
      <c r="N75" s="1175">
        <f>N40*N$92/N$57</f>
        <v/>
      </c>
      <c r="O75" s="1175">
        <f>O40*O$92/O$57</f>
        <v/>
      </c>
      <c r="P75" s="1175">
        <f>SUM(D75:O75)</f>
        <v/>
      </c>
      <c r="Q75" s="2377" t="n"/>
      <c r="R75" s="2377" t="n"/>
      <c r="S75" s="2402" t="n"/>
      <c r="T75" s="2362" t="n"/>
      <c r="U75" s="2362" t="n"/>
      <c r="V75" s="2362" t="n"/>
      <c r="W75" s="2362" t="n"/>
      <c r="X75" s="2362" t="n"/>
      <c r="Y75" s="2362" t="n"/>
      <c r="Z75" s="2362" t="n"/>
      <c r="AA75" s="2362" t="n"/>
      <c r="AB75" s="2362" t="n"/>
      <c r="AC75" s="2362" t="n"/>
      <c r="AD75" s="2362" t="n"/>
      <c r="AE75" s="2362" t="n"/>
    </row>
    <row customFormat="1" customHeight="1" ht="14.25" r="76" s="2362" spans="1:57">
      <c r="A76" s="2381" t="n"/>
      <c r="B76" s="70" t="s">
        <v>214</v>
      </c>
      <c r="C76" s="2406" t="n"/>
      <c r="D76" s="1062">
        <f>SUM(D69:D75)</f>
        <v/>
      </c>
      <c r="E76" s="1062">
        <f>SUM(E69:E75)</f>
        <v/>
      </c>
      <c r="F76" s="73">
        <f>SUM(F69:F75)</f>
        <v/>
      </c>
      <c r="G76" s="73">
        <f>SUM(G69:G75)</f>
        <v/>
      </c>
      <c r="H76" s="73">
        <f>SUM(H69:H75)</f>
        <v/>
      </c>
      <c r="I76" s="73">
        <f>SUM(I69:I75)</f>
        <v/>
      </c>
      <c r="J76" s="73">
        <f>SUM(J69:J75)</f>
        <v/>
      </c>
      <c r="K76" s="73">
        <f>SUM(K69:K75)</f>
        <v/>
      </c>
      <c r="L76" s="73">
        <f>SUM(L69:L75)</f>
        <v/>
      </c>
      <c r="M76" s="73">
        <f>SUM(M69:M75)</f>
        <v/>
      </c>
      <c r="N76" s="73">
        <f>SUM(N69:N75)</f>
        <v/>
      </c>
      <c r="O76" s="73">
        <f>SUM(O69:O75)</f>
        <v/>
      </c>
      <c r="P76" s="76">
        <f>SUM(D76:O76)</f>
        <v/>
      </c>
      <c r="R76" s="2362" t="n"/>
      <c r="S76" s="2362" t="n"/>
      <c r="T76" s="2362" t="n"/>
      <c r="U76" s="2362" t="n"/>
      <c r="V76" s="2362" t="n"/>
      <c r="W76" s="2362" t="n"/>
      <c r="X76" s="2362" t="n"/>
      <c r="Y76" s="2362" t="n"/>
      <c r="Z76" s="2362" t="n"/>
      <c r="AA76" s="2362" t="n"/>
      <c r="AB76" s="2362" t="n"/>
      <c r="AC76" s="2362" t="n"/>
      <c r="AD76" s="2362" t="n"/>
      <c r="AE76" s="2362" t="n"/>
    </row>
    <row customFormat="1" customHeight="1" ht="14.25" r="77" s="2362" spans="1:57">
      <c r="A77" s="2381" t="n"/>
      <c r="B77" s="66" t="n"/>
      <c r="C77" s="2385" t="s">
        <v>161</v>
      </c>
      <c r="D77" s="87">
        <f>D42*SUM(D$92,D$95:D$96)/SUM(D$57,D$60:D$61)</f>
        <v/>
      </c>
      <c r="E77" s="87">
        <f>E42*SUM(E$92,E$95:E$96)/SUM(E$57,E$60:E$61)</f>
        <v/>
      </c>
      <c r="F77" s="87">
        <f>F42*SUM(F$92,F$95:F$96)/SUM(F$57,F$60:F$61)</f>
        <v/>
      </c>
      <c r="G77" s="87">
        <f>G42*SUM(G$92,G$95:G$96)/SUM(G$57,G$60:G$61)</f>
        <v/>
      </c>
      <c r="H77" s="87">
        <f>H42*SUM(H$92,H$95:H$96)/SUM(H$57,H$60:H$61)</f>
        <v/>
      </c>
      <c r="I77" s="87">
        <f>I42*SUM(I$92,I$95:I$96)/SUM(I$57,I$60:I$61)</f>
        <v/>
      </c>
      <c r="J77" s="87">
        <f>J42*SUM(J$92,J$95:J$96)/SUM(J$57,J$60:J$61)</f>
        <v/>
      </c>
      <c r="K77" s="87">
        <f>K42*SUM(K$92,K$95:K$96)/SUM(K$57,K$60:K$61)</f>
        <v/>
      </c>
      <c r="L77" s="87">
        <f>L42*SUM(L$92,L$95:L$96)/SUM(L$57,L$60:L$61)</f>
        <v/>
      </c>
      <c r="M77" s="87">
        <f>M42*SUM(M$92,M$95:M$96)/SUM(M$57,M$60:M$61)</f>
        <v/>
      </c>
      <c r="N77" s="87">
        <f>N42*SUM(N$92,N$95:N$96)/SUM(N$57,N$60:N$61)</f>
        <v/>
      </c>
      <c r="O77" s="87">
        <f>O42*SUM(O$92,O$95:O$96)/SUM(O$57,O$60:O$61)</f>
        <v/>
      </c>
      <c r="P77" s="85">
        <f>SUM(D77:O77)</f>
        <v/>
      </c>
      <c r="Q77" s="2377" t="n"/>
      <c r="R77" s="2377" t="n"/>
      <c r="S77" s="2402" t="n"/>
      <c r="T77" s="2362" t="n"/>
      <c r="U77" s="2362" t="n"/>
      <c r="V77" s="2362" t="n"/>
      <c r="W77" s="2362" t="n"/>
      <c r="X77" s="2362" t="n"/>
      <c r="Y77" s="2362" t="n"/>
      <c r="Z77" s="2362" t="n"/>
      <c r="AA77" s="2362" t="n"/>
      <c r="AB77" s="2362" t="n"/>
      <c r="AC77" s="2362" t="n"/>
      <c r="AD77" s="2362" t="n"/>
      <c r="AE77" s="2362" t="n"/>
    </row>
    <row customFormat="1" customHeight="1" ht="14.25" r="78" s="2362" spans="1:57">
      <c r="A78" s="2407" t="n"/>
      <c r="B78" s="123" t="n"/>
      <c r="C78" s="2385" t="s">
        <v>215</v>
      </c>
      <c r="D78" s="87">
        <f>D43*SUM(D$92)/SUM(D$57)</f>
        <v/>
      </c>
      <c r="E78" s="87">
        <f>E43*SUM(E$92)/SUM(E$57)</f>
        <v/>
      </c>
      <c r="F78" s="87">
        <f>F43*SUM(F$92)/SUM(F$57)</f>
        <v/>
      </c>
      <c r="G78" s="87">
        <f>G43*SUM(G$92)/SUM(G$57)</f>
        <v/>
      </c>
      <c r="H78" s="87">
        <f>H43*SUM(H$92)/SUM(H$57)</f>
        <v/>
      </c>
      <c r="I78" s="87">
        <f>I43*SUM(I$92)/SUM(I$57)</f>
        <v/>
      </c>
      <c r="J78" s="87">
        <f>J43*SUM(J$92)/SUM(J$57)</f>
        <v/>
      </c>
      <c r="K78" s="87">
        <f>K43*SUM(K$92)/SUM(K$57)</f>
        <v/>
      </c>
      <c r="L78" s="87">
        <f>L43*SUM(L$92)/SUM(L$57)</f>
        <v/>
      </c>
      <c r="M78" s="87">
        <f>M43*SUM(M$92)/SUM(M$57)</f>
        <v/>
      </c>
      <c r="N78" s="87">
        <f>N43*SUM(N$92)/SUM(N$57)</f>
        <v/>
      </c>
      <c r="O78" s="87">
        <f>O43*SUM(O$92)/SUM(O$57)</f>
        <v/>
      </c>
      <c r="P78" s="85">
        <f>SUM(D78:O78)</f>
        <v/>
      </c>
      <c r="Q78" s="2377" t="n"/>
      <c r="R78" s="2377" t="n"/>
      <c r="S78" s="2402" t="n"/>
      <c r="T78" s="2362" t="n"/>
      <c r="U78" s="2362" t="n"/>
      <c r="V78" s="2362" t="n"/>
      <c r="W78" s="2362" t="n"/>
      <c r="X78" s="2362" t="n"/>
      <c r="Y78" s="2362" t="n"/>
      <c r="Z78" s="2362" t="n"/>
      <c r="AA78" s="2362" t="n"/>
      <c r="AB78" s="2362" t="n"/>
      <c r="AC78" s="2362" t="n"/>
      <c r="AD78" s="2362" t="n"/>
      <c r="AE78" s="2362" t="n"/>
    </row>
    <row customFormat="1" customHeight="1" ht="14.25" r="79" s="2362" spans="1:57">
      <c r="A79" s="2407" t="n"/>
      <c r="B79" s="1171" t="n"/>
      <c r="C79" s="2386" t="s">
        <v>197</v>
      </c>
      <c r="D79" s="87">
        <f>D44*SUM(D$99)/SUM(D$64)</f>
        <v/>
      </c>
      <c r="E79" s="87">
        <f>E44*SUM(E$99)/SUM(E$64)</f>
        <v/>
      </c>
      <c r="F79" s="87">
        <f>F44*SUM(F$99)/SUM(F$64)</f>
        <v/>
      </c>
      <c r="G79" s="87">
        <f>G44*SUM(G$99)/SUM(G$64)</f>
        <v/>
      </c>
      <c r="H79" s="87">
        <f>H44*SUM(H$99)/SUM(H$64)</f>
        <v/>
      </c>
      <c r="I79" s="87">
        <f>I44*SUM(I$99)/SUM(I$64)</f>
        <v/>
      </c>
      <c r="J79" s="87">
        <f>J44*SUM(J$99)/SUM(J$64)</f>
        <v/>
      </c>
      <c r="K79" s="87">
        <f>K44*SUM(K$99)/SUM(K$64)</f>
        <v/>
      </c>
      <c r="L79" s="87">
        <f>L44*SUM(L$99)/SUM(L$64)</f>
        <v/>
      </c>
      <c r="M79" s="87">
        <f>M44*SUM(M$99)/SUM(M$64)</f>
        <v/>
      </c>
      <c r="N79" s="87">
        <f>N44*SUM(N$99)/SUM(N$64)</f>
        <v/>
      </c>
      <c r="O79" s="87">
        <f>O44*SUM(O$99)/SUM(O$64)</f>
        <v/>
      </c>
      <c r="P79" s="85">
        <f>SUM(D79:O79)</f>
        <v/>
      </c>
      <c r="Q79" s="2377" t="n"/>
      <c r="R79" s="2377" t="n"/>
      <c r="S79" s="2402" t="n"/>
      <c r="T79" s="2362" t="n"/>
      <c r="U79" s="2362" t="n"/>
      <c r="V79" s="2362" t="n"/>
      <c r="W79" s="2362" t="n"/>
      <c r="X79" s="2362" t="n"/>
      <c r="Y79" s="2362" t="n"/>
      <c r="Z79" s="2362" t="n"/>
      <c r="AA79" s="2362" t="n"/>
      <c r="AB79" s="2362" t="n"/>
      <c r="AC79" s="2362" t="n"/>
      <c r="AD79" s="2362" t="n"/>
      <c r="AE79" s="2362" t="n"/>
    </row>
    <row customFormat="1" customHeight="1" ht="14.25" r="80" s="2362" spans="1:57">
      <c r="A80" s="2407" t="n"/>
      <c r="B80" s="123" t="n"/>
      <c r="C80" s="2386" t="s">
        <v>198</v>
      </c>
      <c r="D80" s="87">
        <f>D45*SUM(D$94,D$96)/SUM(D$59,D$61)</f>
        <v/>
      </c>
      <c r="E80" s="87">
        <f>E45*SUM(E$94,E$96)/SUM(E$59,E$61)</f>
        <v/>
      </c>
      <c r="F80" s="87">
        <f>F45*SUM(F$94,F$96)/SUM(F$59,F$61)</f>
        <v/>
      </c>
      <c r="G80" s="87">
        <f>G45*SUM(G$94,G$96)/SUM(G$59,G$61)</f>
        <v/>
      </c>
      <c r="H80" s="87">
        <f>H45*SUM(H$94,H$96)/SUM(H$59,H$61)</f>
        <v/>
      </c>
      <c r="I80" s="87">
        <f>I45*SUM(I$94,I$96)/SUM(I$59,I$61)</f>
        <v/>
      </c>
      <c r="J80" s="87">
        <f>J45*SUM(J$94,J$96)/SUM(J$59,J$61)</f>
        <v/>
      </c>
      <c r="K80" s="87">
        <f>K45*SUM(K$94,K$96)/SUM(K$59,K$61)</f>
        <v/>
      </c>
      <c r="L80" s="87">
        <f>L45*SUM(L$94,L$96)/SUM(L$59,L$61)</f>
        <v/>
      </c>
      <c r="M80" s="87">
        <f>M45*SUM(M$94,M$96)/SUM(M$59,M$61)</f>
        <v/>
      </c>
      <c r="N80" s="87">
        <f>N45*SUM(N$94,N$96)/SUM(N$59,N$61)</f>
        <v/>
      </c>
      <c r="O80" s="87">
        <f>O45*SUM(O$94,O$96)/SUM(O$59,O$61)</f>
        <v/>
      </c>
      <c r="P80" s="85">
        <f>SUM(D80:O80)</f>
        <v/>
      </c>
      <c r="Q80" s="2402" t="n"/>
      <c r="T80" s="2362" t="n"/>
      <c r="U80" s="2362" t="n"/>
      <c r="V80" s="2362" t="n"/>
      <c r="W80" s="2362" t="n"/>
      <c r="X80" s="2362" t="n"/>
      <c r="Y80" s="2362" t="n"/>
      <c r="Z80" s="2362" t="n"/>
      <c r="AA80" s="2362" t="n"/>
      <c r="AB80" s="2362" t="n"/>
      <c r="AC80" s="2362" t="n"/>
      <c r="AD80" s="2362" t="n"/>
      <c r="AE80" s="2362" t="n"/>
    </row>
    <row customFormat="1" customHeight="1" ht="14.25" r="81" s="2362" spans="1:57">
      <c r="A81" s="2407" t="n"/>
      <c r="B81" s="123" t="n"/>
      <c r="C81" s="2385" t="s">
        <v>199</v>
      </c>
      <c r="D81" s="87">
        <f>D46*SUM(D$99)/SUM(D$64)</f>
        <v/>
      </c>
      <c r="E81" s="87">
        <f>E46*SUM(E$99)/SUM(E$64)</f>
        <v/>
      </c>
      <c r="F81" s="87">
        <f>F46*SUM(F$99)/SUM(F$64)</f>
        <v/>
      </c>
      <c r="G81" s="87">
        <f>G46*SUM(G$99)/SUM(G$64)</f>
        <v/>
      </c>
      <c r="H81" s="87">
        <f>H46*SUM(H$99)/SUM(H$64)</f>
        <v/>
      </c>
      <c r="I81" s="87">
        <f>I46*SUM(I$99)/SUM(I$64)</f>
        <v/>
      </c>
      <c r="J81" s="87">
        <f>J46*SUM(J$99)/SUM(J$64)</f>
        <v/>
      </c>
      <c r="K81" s="87">
        <f>K46*SUM(K$99)/SUM(K$64)</f>
        <v/>
      </c>
      <c r="L81" s="87">
        <f>L46*SUM(L$99)/SUM(L$64)</f>
        <v/>
      </c>
      <c r="M81" s="87">
        <f>M46*SUM(M$99)/SUM(M$64)</f>
        <v/>
      </c>
      <c r="N81" s="87">
        <f>N46*SUM(N$99)/SUM(N$64)</f>
        <v/>
      </c>
      <c r="O81" s="87">
        <f>O46*SUM(O$99)/SUM(O$64)</f>
        <v/>
      </c>
      <c r="P81" s="85">
        <f>SUM(D81:O81)</f>
        <v/>
      </c>
      <c r="Q81" s="2402" t="n"/>
      <c r="R81" s="2377" t="n"/>
      <c r="S81" s="2402" t="n"/>
      <c r="T81" s="2362" t="n"/>
      <c r="U81" s="2362" t="n"/>
      <c r="V81" s="2362" t="n"/>
      <c r="W81" s="2362" t="n"/>
      <c r="X81" s="2362" t="n"/>
      <c r="Y81" s="2362" t="n"/>
      <c r="Z81" s="2362" t="n"/>
      <c r="AA81" s="2362" t="n"/>
      <c r="AB81" s="2362" t="n"/>
      <c r="AC81" s="2362" t="n"/>
      <c r="AD81" s="2362" t="n"/>
      <c r="AE81" s="2362" t="n"/>
    </row>
    <row customFormat="1" customHeight="1" ht="14.25" r="82" s="2362" spans="1:57">
      <c r="A82" s="2407" t="n"/>
      <c r="B82" s="123" t="n"/>
      <c r="C82" s="2385" t="s">
        <v>200</v>
      </c>
      <c r="D82" s="87">
        <f>D47*SUM(D$94,D$96)/SUM(D$59,D$61)</f>
        <v/>
      </c>
      <c r="E82" s="87">
        <f>E47*SUM(E$94,E$96)/SUM(E$59,E$61)</f>
        <v/>
      </c>
      <c r="F82" s="87">
        <f>F47*SUM(F$94,F$96)/SUM(F$59,F$61)</f>
        <v/>
      </c>
      <c r="G82" s="87">
        <f>G47*SUM(G$94,G$96)/SUM(G$59,G$61)</f>
        <v/>
      </c>
      <c r="H82" s="87">
        <f>H47*SUM(H$94,H$96)/SUM(H$59,H$61)</f>
        <v/>
      </c>
      <c r="I82" s="87">
        <f>I47*SUM(I$94,I$96)/SUM(I$59,I$61)</f>
        <v/>
      </c>
      <c r="J82" s="87">
        <f>J47*SUM(J$94,J$96)/SUM(J$59,J$61)</f>
        <v/>
      </c>
      <c r="K82" s="87">
        <f>K47*SUM(K$94,K$96)/SUM(K$59,K$61)</f>
        <v/>
      </c>
      <c r="L82" s="87">
        <f>L47*SUM(L$94,L$96)/SUM(L$59,L$61)</f>
        <v/>
      </c>
      <c r="M82" s="87">
        <f>M47*SUM(M$94,M$96)/SUM(M$59,M$61)</f>
        <v/>
      </c>
      <c r="N82" s="87">
        <f>N47*SUM(N$94,N$96)/SUM(N$59,N$61)</f>
        <v/>
      </c>
      <c r="O82" s="87">
        <f>O47*SUM(O$94,O$96)/SUM(O$59,O$61)</f>
        <v/>
      </c>
      <c r="P82" s="85">
        <f>SUM(D82:O82)</f>
        <v/>
      </c>
      <c r="Q82" s="2402" t="n"/>
      <c r="R82" s="2377" t="n"/>
      <c r="S82" s="2402" t="n"/>
      <c r="T82" s="2362" t="n"/>
      <c r="U82" s="2362" t="n"/>
      <c r="V82" s="2362" t="n"/>
      <c r="W82" s="2362" t="n"/>
      <c r="X82" s="2362" t="n"/>
      <c r="Y82" s="2362" t="n"/>
      <c r="Z82" s="2362" t="n"/>
      <c r="AA82" s="2362" t="n"/>
      <c r="AB82" s="2362" t="n"/>
      <c r="AC82" s="2362" t="n"/>
      <c r="AD82" s="2362" t="n"/>
      <c r="AE82" s="2362" t="n"/>
    </row>
    <row customFormat="1" customHeight="1" ht="14.25" r="83" s="2362" spans="1:57">
      <c r="A83" s="2408" t="n"/>
      <c r="B83" s="71" t="n"/>
      <c r="C83" s="2385" t="s">
        <v>201</v>
      </c>
      <c r="D83" s="87">
        <f>D48*SUM(D$92,D$95:D$96)/SUM(D$57,D$60:D$61)</f>
        <v/>
      </c>
      <c r="E83" s="87">
        <f>E48*SUM(E$92,E$95:E$96)/SUM(E$57,E$60:E$61)</f>
        <v/>
      </c>
      <c r="F83" s="87">
        <f>F48*SUM(F$92,F$95:F$96)/SUM(F$57,F$60:F$61)</f>
        <v/>
      </c>
      <c r="G83" s="87">
        <f>G48*SUM(G$92,G$95:G$96)/SUM(G$57,G$60:G$61)</f>
        <v/>
      </c>
      <c r="H83" s="87">
        <f>H48*SUM(H$92,H$95:H$96)/SUM(H$57,H$60:H$61)</f>
        <v/>
      </c>
      <c r="I83" s="87">
        <f>I48*SUM(I$92,I$95:I$96)/SUM(I$57,I$60:I$61)</f>
        <v/>
      </c>
      <c r="J83" s="87">
        <f>J48*SUM(J$92,J$95:J$96)/SUM(J$57,J$60:J$61)</f>
        <v/>
      </c>
      <c r="K83" s="87">
        <f>K48*SUM(K$92,K$95:K$96)/SUM(K$57,K$60:K$61)</f>
        <v/>
      </c>
      <c r="L83" s="87">
        <f>L48*SUM(L$92,L$95:L$96)/SUM(L$57,L$60:L$61)</f>
        <v/>
      </c>
      <c r="M83" s="87">
        <f>M48*SUM(M$92,M$95:M$96)/SUM(M$57,M$60:M$61)</f>
        <v/>
      </c>
      <c r="N83" s="87">
        <f>N48*SUM(N$92,N$95:N$96)/SUM(N$57,N$60:N$61)</f>
        <v/>
      </c>
      <c r="O83" s="87">
        <f>O48*SUM(O$92,O$95:O$96)/SUM(O$57,O$60:O$61)</f>
        <v/>
      </c>
      <c r="P83" s="122">
        <f>SUM(D83:O83)</f>
        <v/>
      </c>
      <c r="Q83" s="2377" t="n"/>
      <c r="R83" s="2377" t="n"/>
      <c r="S83" s="2402" t="n"/>
      <c r="T83" s="2362" t="n"/>
      <c r="U83" s="2362" t="n"/>
      <c r="V83" s="2362" t="n"/>
      <c r="W83" s="2362" t="n"/>
      <c r="X83" s="2362" t="n"/>
      <c r="Y83" s="2362" t="n"/>
      <c r="Z83" s="2362" t="n"/>
      <c r="AA83" s="2362" t="n"/>
      <c r="AB83" s="2362" t="n"/>
      <c r="AC83" s="2362" t="n"/>
      <c r="AD83" s="2362" t="n"/>
      <c r="AE83" s="2362" t="n"/>
    </row>
    <row customFormat="1" customHeight="1" ht="36" r="84" s="2362" spans="1:57">
      <c r="A84" s="2408" t="n"/>
      <c r="B84" s="1171" t="n"/>
      <c r="C84" s="2387" t="s">
        <v>202</v>
      </c>
      <c r="D84" s="2423">
        <f>D49*SUM(D$94,D$96)/SUM(D$59,D$61)</f>
        <v/>
      </c>
      <c r="E84" s="2423">
        <f>E49*SUM(E$94,E$96)/SUM(E$59,E$61)</f>
        <v/>
      </c>
      <c r="F84" s="2423">
        <f>F49*SUM(F$94,F$96)/SUM(F$59,F$61)</f>
        <v/>
      </c>
      <c r="G84" s="2423">
        <f>G49*SUM(G$94,G$96)/SUM(G$59,G$61)</f>
        <v/>
      </c>
      <c r="H84" s="2423">
        <f>H49*SUM(H$94,H$96)/SUM(H$59,H$61)</f>
        <v/>
      </c>
      <c r="I84" s="2423">
        <f>I49*SUM(I$94,I$96)/SUM(I$59,I$61)</f>
        <v/>
      </c>
      <c r="J84" s="2423">
        <f>J49*SUM(J$94,J$96)/SUM(J$59,J$61)</f>
        <v/>
      </c>
      <c r="K84" s="2423">
        <f>K49*SUM(K$94,K$96)/SUM(K$59,K$61)</f>
        <v/>
      </c>
      <c r="L84" s="2423">
        <f>L49*SUM(L$94,L$96)/SUM(L$59,L$61)</f>
        <v/>
      </c>
      <c r="M84" s="2423">
        <f>M49*SUM(M$94,M$96)/SUM(M$59,M$61)</f>
        <v/>
      </c>
      <c r="N84" s="2423">
        <f>N49*SUM(N$94,N$96)/SUM(N$59,N$61)</f>
        <v/>
      </c>
      <c r="O84" s="2423">
        <f>O49*SUM(O$94,O$96)/SUM(O$59,O$61)</f>
        <v/>
      </c>
      <c r="P84" s="93">
        <f>SUM(D84:O84)</f>
        <v/>
      </c>
      <c r="Q84" s="2377" t="n"/>
      <c r="R84" s="2377" t="n"/>
      <c r="S84" s="2402" t="n"/>
      <c r="T84" s="2362" t="n"/>
      <c r="U84" s="2362" t="n"/>
      <c r="V84" s="2362" t="n"/>
      <c r="W84" s="2362" t="n"/>
      <c r="X84" s="2362" t="n"/>
      <c r="Y84" s="2362" t="n"/>
      <c r="Z84" s="2362" t="n"/>
      <c r="AA84" s="2362" t="n"/>
      <c r="AB84" s="2362" t="n"/>
      <c r="AC84" s="2362" t="n"/>
      <c r="AD84" s="2362" t="n"/>
      <c r="AE84" s="2362" t="n"/>
    </row>
    <row customFormat="1" customHeight="1" ht="14.25" r="85" s="2362" spans="1:57">
      <c r="A85" s="2407" t="n"/>
      <c r="B85" s="139" t="n"/>
      <c r="C85" s="2409" t="s">
        <v>216</v>
      </c>
      <c r="D85" s="128">
        <f>D50*SUM(D$92,D$95:D$96)/SUM(D$57,D$60:D$61)</f>
        <v/>
      </c>
      <c r="E85" s="128">
        <f>E50*SUM(E$92,E$95:E$96)/SUM(E$57,E$60:E$61)</f>
        <v/>
      </c>
      <c r="F85" s="128">
        <f>F50*SUM(F$92,F$95:F$96)/SUM(F$57,F$60:F$61)</f>
        <v/>
      </c>
      <c r="G85" s="128">
        <f>G50*SUM(G$92,G$95:G$96)/SUM(G$57,G$60:G$61)</f>
        <v/>
      </c>
      <c r="H85" s="128">
        <f>H50*SUM(H$92,H$95:H$96)/SUM(H$57,H$60:H$61)</f>
        <v/>
      </c>
      <c r="I85" s="128">
        <f>I50*SUM(I$92,I$95:I$96)/SUM(I$57,I$60:I$61)</f>
        <v/>
      </c>
      <c r="J85" s="128">
        <f>J50*SUM(J$92,J$95:J$96)/SUM(J$57,J$60:J$61)</f>
        <v/>
      </c>
      <c r="K85" s="128">
        <f>K50*SUM(K$92,K$95:K$96)/SUM(K$57,K$60:K$61)</f>
        <v/>
      </c>
      <c r="L85" s="128">
        <f>L50*SUM(L$92,L$95:L$96)/SUM(L$57,L$60:L$61)</f>
        <v/>
      </c>
      <c r="M85" s="128">
        <f>M50*SUM(M$92,M$95:M$96)/SUM(M$57,M$60:M$61)</f>
        <v/>
      </c>
      <c r="N85" s="128">
        <f>N50*SUM(N$92,N$95:N$96)/SUM(N$57,N$60:N$61)</f>
        <v/>
      </c>
      <c r="O85" s="128">
        <f>O50*SUM(O$92,O$95:O$96)/SUM(O$57,O$60:O$61)</f>
        <v/>
      </c>
      <c r="P85" s="129">
        <f>SUM(D85:O85)</f>
        <v/>
      </c>
      <c r="Q85" s="2362" t="n"/>
      <c r="R85" s="2362" t="n"/>
      <c r="S85" s="2362" t="n"/>
      <c r="T85" s="2362" t="n"/>
      <c r="U85" s="2362" t="n"/>
      <c r="V85" s="2362" t="n"/>
      <c r="W85" s="2362" t="n"/>
      <c r="X85" s="2362" t="n"/>
      <c r="Y85" s="2362" t="n"/>
      <c r="Z85" s="2362" t="n"/>
      <c r="AA85" s="2362" t="n"/>
      <c r="AB85" s="2362" t="n"/>
      <c r="AC85" s="2362" t="n"/>
      <c r="AD85" s="2362" t="n"/>
      <c r="AE85" s="2362" t="n"/>
    </row>
    <row customFormat="1" customHeight="1" ht="15" r="86" s="2362" spans="1:57" thickBot="1">
      <c r="A86" s="2407" t="n"/>
      <c r="B86" s="123" t="s">
        <v>217</v>
      </c>
      <c r="C86" s="2410" t="n"/>
      <c r="D86" s="1225">
        <f>SUM(D77:D85)</f>
        <v/>
      </c>
      <c r="E86" s="1225">
        <f>SUM(E77:E85)</f>
        <v/>
      </c>
      <c r="F86" s="1225">
        <f>SUM(F77:F85)</f>
        <v/>
      </c>
      <c r="G86" s="1225">
        <f>SUM(G77:G85)</f>
        <v/>
      </c>
      <c r="H86" s="1225">
        <f>SUM(H77:H85)</f>
        <v/>
      </c>
      <c r="I86" s="1225">
        <f>SUM(I77:I85)</f>
        <v/>
      </c>
      <c r="J86" s="1225">
        <f>SUM(J77:J85)</f>
        <v/>
      </c>
      <c r="K86" s="1225">
        <f>SUM(K77:K85)</f>
        <v/>
      </c>
      <c r="L86" s="1225">
        <f>SUM(L77:L85)</f>
        <v/>
      </c>
      <c r="M86" s="1225">
        <f>SUM(M77:M85)</f>
        <v/>
      </c>
      <c r="N86" s="1225">
        <f>SUM(N77:N85)</f>
        <v/>
      </c>
      <c r="O86" s="1225">
        <f>SUM(O77:O85)</f>
        <v/>
      </c>
      <c r="P86" s="1226">
        <f>SUM(D86:O86)</f>
        <v/>
      </c>
      <c r="Q86" s="2377" t="n"/>
      <c r="R86" s="2411" t="n"/>
      <c r="S86" s="2412" t="n"/>
      <c r="T86" s="2362" t="n"/>
      <c r="U86" s="2362" t="n"/>
      <c r="V86" s="2362" t="n"/>
      <c r="W86" s="2362" t="n"/>
      <c r="X86" s="2362" t="n"/>
      <c r="Y86" s="2362" t="n"/>
      <c r="Z86" s="2362" t="n"/>
      <c r="AA86" s="2362" t="n"/>
      <c r="AB86" s="2362" t="n"/>
      <c r="AC86" s="2362" t="n"/>
      <c r="AD86" s="2362" t="n"/>
      <c r="AE86" s="2362" t="n"/>
    </row>
    <row customFormat="1" customHeight="1" ht="14.25" r="87" s="2362" spans="1:57">
      <c r="A87" s="2388" t="n"/>
      <c r="B87" s="2388" t="n"/>
      <c r="C87" s="2388" t="s">
        <v>218</v>
      </c>
      <c r="D87" s="1393">
        <f>SUM(D76,D86)</f>
        <v/>
      </c>
      <c r="E87" s="1393">
        <f>SUM(E76,E86)</f>
        <v/>
      </c>
      <c r="F87" s="1393">
        <f>SUM(F76,F86)</f>
        <v/>
      </c>
      <c r="G87" s="1393">
        <f>SUM(G76,G86)</f>
        <v/>
      </c>
      <c r="H87" s="1393">
        <f>SUM(H76,H86)</f>
        <v/>
      </c>
      <c r="I87" s="1393">
        <f>SUM(I76,I86)</f>
        <v/>
      </c>
      <c r="J87" s="1393">
        <f>SUM(J76,J86)</f>
        <v/>
      </c>
      <c r="K87" s="1393">
        <f>SUM(K76,K86)</f>
        <v/>
      </c>
      <c r="L87" s="1393">
        <f>SUM(L76,L86)</f>
        <v/>
      </c>
      <c r="M87" s="1393">
        <f>SUM(M76,M86)</f>
        <v/>
      </c>
      <c r="N87" s="1393">
        <f>SUM(N76,N86)</f>
        <v/>
      </c>
      <c r="O87" s="1393">
        <f>SUM(O76,O86)</f>
        <v/>
      </c>
      <c r="P87" s="89">
        <f>SUM(P76,P86)</f>
        <v/>
      </c>
      <c r="Q87" s="2377" t="n"/>
      <c r="R87" s="2411" t="n"/>
      <c r="S87" s="2412" t="n"/>
      <c r="T87" s="2362" t="n"/>
      <c r="U87" s="2362" t="n"/>
      <c r="V87" s="2362" t="n"/>
      <c r="W87" s="2362" t="n"/>
      <c r="X87" s="2362" t="n"/>
      <c r="Y87" s="2362" t="n"/>
      <c r="Z87" s="2362" t="n"/>
      <c r="AA87" s="2362" t="n"/>
      <c r="AB87" s="2362" t="n"/>
      <c r="AC87" s="2362" t="n"/>
      <c r="AD87" s="2362" t="n"/>
      <c r="AE87" s="2362" t="n"/>
    </row>
    <row customFormat="1" customHeight="1" ht="14.25" r="88" s="2362" spans="1:57">
      <c r="A88" s="2392" t="s">
        <v>203</v>
      </c>
      <c r="B88" s="2393" t="n"/>
      <c r="C88" s="2413" t="s">
        <v>204</v>
      </c>
      <c r="D88" s="2424" t="n">
        <v>0.5</v>
      </c>
      <c r="E88" s="2424" t="n">
        <v>0.5</v>
      </c>
      <c r="F88" s="2424" t="n">
        <v>0.5</v>
      </c>
      <c r="G88" s="2424" t="n">
        <v>0.5</v>
      </c>
      <c r="H88" s="2424" t="n">
        <v>0.5</v>
      </c>
      <c r="I88" s="2424" t="n">
        <v>0.5</v>
      </c>
      <c r="J88" s="2424" t="n">
        <v>0.5</v>
      </c>
      <c r="K88" s="2424" t="n">
        <v>0.5</v>
      </c>
      <c r="L88" s="2424" t="n">
        <v>0.5</v>
      </c>
      <c r="M88" s="2424" t="n">
        <v>0.5</v>
      </c>
      <c r="N88" s="2424" t="n">
        <v>0.5</v>
      </c>
      <c r="O88" s="2424" t="n">
        <v>0.5</v>
      </c>
      <c r="P88" s="1219">
        <f>SUM(D88:O88)</f>
        <v/>
      </c>
    </row>
    <row customFormat="1" customHeight="1" ht="14.25" r="89" s="2362" spans="1:57">
      <c r="B89" s="2395" t="n"/>
      <c r="C89" s="2399" t="s">
        <v>14</v>
      </c>
      <c r="D89" s="2425" t="n">
        <v>1</v>
      </c>
      <c r="E89" s="1395" t="n">
        <v>1</v>
      </c>
      <c r="F89" s="1395" t="n">
        <v>1</v>
      </c>
      <c r="G89" s="1395" t="n">
        <v>1</v>
      </c>
      <c r="H89" s="1395" t="n">
        <v>1</v>
      </c>
      <c r="I89" s="1395" t="n">
        <v>1</v>
      </c>
      <c r="J89" s="1395" t="n">
        <v>1</v>
      </c>
      <c r="K89" s="1395" t="n">
        <v>1</v>
      </c>
      <c r="L89" s="1395" t="n">
        <v>1</v>
      </c>
      <c r="M89" s="1395" t="n">
        <v>1</v>
      </c>
      <c r="N89" s="1395" t="n">
        <v>1</v>
      </c>
      <c r="O89" s="1395" t="n">
        <v>1</v>
      </c>
      <c r="P89" s="1219">
        <f>SUM(D89:O89)</f>
        <v/>
      </c>
    </row>
    <row customFormat="1" customHeight="1" ht="14.25" r="90" s="2362" spans="1:57">
      <c r="B90" s="2395" t="n"/>
      <c r="C90" s="2399" t="s">
        <v>15</v>
      </c>
      <c r="D90" s="1395" t="n">
        <v>0</v>
      </c>
      <c r="E90" s="1395" t="n">
        <v>0</v>
      </c>
      <c r="F90" s="1395" t="n">
        <v>0</v>
      </c>
      <c r="G90" s="1395" t="n">
        <v>0</v>
      </c>
      <c r="H90" s="1395" t="n">
        <v>0</v>
      </c>
      <c r="I90" s="1395" t="n">
        <v>0</v>
      </c>
      <c r="J90" s="1395" t="n">
        <v>0</v>
      </c>
      <c r="K90" s="1395" t="n">
        <v>0</v>
      </c>
      <c r="L90" s="1395" t="n">
        <v>0</v>
      </c>
      <c r="M90" s="1395" t="n">
        <v>0</v>
      </c>
      <c r="N90" s="1395" t="n">
        <v>0</v>
      </c>
      <c r="O90" s="1395" t="n">
        <v>0</v>
      </c>
      <c r="P90" s="1219">
        <f>SUM(D90:O90)</f>
        <v/>
      </c>
    </row>
    <row customFormat="1" customHeight="1" ht="14.25" r="91" s="2362" spans="1:57">
      <c r="B91" s="2395" t="n"/>
      <c r="C91" s="2399" t="s">
        <v>16</v>
      </c>
      <c r="D91" s="1395" t="n">
        <v>0</v>
      </c>
      <c r="E91" s="1395" t="n">
        <v>0</v>
      </c>
      <c r="F91" s="1395" t="n">
        <v>0</v>
      </c>
      <c r="G91" s="1395" t="n">
        <v>0</v>
      </c>
      <c r="H91" s="1395" t="n">
        <v>0</v>
      </c>
      <c r="I91" s="1395" t="n">
        <v>0</v>
      </c>
      <c r="J91" s="1395" t="n">
        <v>0</v>
      </c>
      <c r="K91" s="1395" t="n">
        <v>0</v>
      </c>
      <c r="L91" s="1395" t="n">
        <v>0</v>
      </c>
      <c r="M91" s="1395" t="n">
        <v>0</v>
      </c>
      <c r="N91" s="1395" t="n">
        <v>0</v>
      </c>
      <c r="O91" s="1395" t="n">
        <v>0</v>
      </c>
      <c r="P91" s="1219">
        <f>SUM(D91:O91)</f>
        <v/>
      </c>
    </row>
    <row customFormat="1" customHeight="1" ht="14.25" r="92" s="2362" spans="1:57">
      <c r="B92" s="2395" t="n"/>
      <c r="C92" s="2399" t="s">
        <v>205</v>
      </c>
      <c r="D92" s="192">
        <f>SUM(D88:D91)</f>
        <v/>
      </c>
      <c r="E92" s="192">
        <f>SUM(E88:E91)</f>
        <v/>
      </c>
      <c r="F92" s="192">
        <f>SUM(F88:F91)</f>
        <v/>
      </c>
      <c r="G92" s="192">
        <f>SUM(G88:G91)</f>
        <v/>
      </c>
      <c r="H92" s="192">
        <f>SUM(H88:H91)</f>
        <v/>
      </c>
      <c r="I92" s="192">
        <f>SUM(I88:I91)</f>
        <v/>
      </c>
      <c r="J92" s="192">
        <f>SUM(J88:J91)</f>
        <v/>
      </c>
      <c r="K92" s="192">
        <f>SUM(K88:K91)</f>
        <v/>
      </c>
      <c r="L92" s="192">
        <f>SUM(L88:L91)</f>
        <v/>
      </c>
      <c r="M92" s="192">
        <f>SUM(M88:M91)</f>
        <v/>
      </c>
      <c r="N92" s="192">
        <f>SUM(N88:N91)</f>
        <v/>
      </c>
      <c r="O92" s="192">
        <f>SUM(O88:O91)</f>
        <v/>
      </c>
      <c r="P92" s="1219">
        <f>SUM(D92:O92)</f>
        <v/>
      </c>
    </row>
    <row customFormat="1" customHeight="1" ht="14.25" r="93" s="2362" spans="1:57">
      <c r="B93" s="2395" t="n"/>
      <c r="C93" s="2399" t="s">
        <v>206</v>
      </c>
      <c r="D93" s="2426" t="n">
        <v>0.5</v>
      </c>
      <c r="E93" s="2426" t="n">
        <v>0.5</v>
      </c>
      <c r="F93" s="2426" t="n">
        <v>0.5</v>
      </c>
      <c r="G93" s="2426" t="n">
        <v>0.5</v>
      </c>
      <c r="H93" s="2426" t="n">
        <v>0.5</v>
      </c>
      <c r="I93" s="2426" t="n">
        <v>0.5</v>
      </c>
      <c r="J93" s="2426" t="n">
        <v>0.5</v>
      </c>
      <c r="K93" s="2426" t="n">
        <v>0.5</v>
      </c>
      <c r="L93" s="2426" t="n">
        <v>0.5</v>
      </c>
      <c r="M93" s="2426" t="n">
        <v>0.5</v>
      </c>
      <c r="N93" s="2426" t="n">
        <v>0.5</v>
      </c>
      <c r="O93" s="2426" t="n">
        <v>0.5</v>
      </c>
      <c r="P93" s="1219">
        <f>SUM(D93:O93)</f>
        <v/>
      </c>
      <c r="R93" s="2362" t="n"/>
    </row>
    <row customFormat="1" customHeight="1" ht="14.25" r="94" s="2362" spans="1:57">
      <c r="B94" s="2398" t="n"/>
      <c r="C94" s="2400" t="s">
        <v>207</v>
      </c>
      <c r="D94" s="1233">
        <f>D92-D93</f>
        <v/>
      </c>
      <c r="E94" s="1233">
        <f>E92-E93</f>
        <v/>
      </c>
      <c r="F94" s="1233">
        <f>F92-F93</f>
        <v/>
      </c>
      <c r="G94" s="1233">
        <f>G92-G93</f>
        <v/>
      </c>
      <c r="H94" s="1233">
        <f>H92-H93</f>
        <v/>
      </c>
      <c r="I94" s="1233">
        <f>I92-I93</f>
        <v/>
      </c>
      <c r="J94" s="1233">
        <f>J92-J93</f>
        <v/>
      </c>
      <c r="K94" s="1233">
        <f>K92-K93</f>
        <v/>
      </c>
      <c r="L94" s="1233">
        <f>L92-L93</f>
        <v/>
      </c>
      <c r="M94" s="1233">
        <f>M92-M93</f>
        <v/>
      </c>
      <c r="N94" s="1233">
        <f>N92-N93</f>
        <v/>
      </c>
      <c r="O94" s="1233">
        <f>O92-O93</f>
        <v/>
      </c>
      <c r="P94" s="1219">
        <f>SUM(D94:O94)</f>
        <v/>
      </c>
      <c r="R94" s="2362" t="n"/>
    </row>
    <row customFormat="1" customHeight="1" ht="14.25" r="95" s="2362" spans="1:57">
      <c r="A95" s="2415" t="s">
        <v>157</v>
      </c>
      <c r="B95" s="2395" t="n"/>
      <c r="C95" s="2399" t="s">
        <v>208</v>
      </c>
      <c r="D95" s="1234" t="n">
        <v>0</v>
      </c>
      <c r="E95" s="1234" t="n">
        <v>0</v>
      </c>
      <c r="F95" s="1234" t="n">
        <v>0</v>
      </c>
      <c r="G95" s="1234" t="n">
        <v>0</v>
      </c>
      <c r="H95" s="1234" t="n">
        <v>0</v>
      </c>
      <c r="I95" s="1234" t="n">
        <v>0</v>
      </c>
      <c r="J95" s="1234" t="n">
        <v>0</v>
      </c>
      <c r="K95" s="1234" t="n">
        <v>0</v>
      </c>
      <c r="L95" s="1234" t="n">
        <v>0</v>
      </c>
      <c r="M95" s="1234" t="n">
        <v>0</v>
      </c>
      <c r="N95" s="1234" t="n">
        <v>0</v>
      </c>
      <c r="O95" s="1234" t="n">
        <v>0</v>
      </c>
      <c r="P95" s="1219">
        <f>SUM(D95:O95)</f>
        <v/>
      </c>
      <c r="R95" s="2362" t="n"/>
    </row>
    <row customFormat="1" customHeight="1" ht="14.25" r="96" s="2362" spans="1:57">
      <c r="B96" s="2395" t="n"/>
      <c r="C96" s="2399" t="s">
        <v>209</v>
      </c>
      <c r="D96" s="1234" t="n">
        <v>0</v>
      </c>
      <c r="E96" s="1234" t="n">
        <v>0</v>
      </c>
      <c r="F96" s="1234" t="n">
        <v>0</v>
      </c>
      <c r="G96" s="1234" t="n">
        <v>0</v>
      </c>
      <c r="H96" s="1234" t="n">
        <v>0</v>
      </c>
      <c r="I96" s="1234" t="n">
        <v>0</v>
      </c>
      <c r="J96" s="1234" t="n">
        <v>0</v>
      </c>
      <c r="K96" s="1234" t="n">
        <v>0</v>
      </c>
      <c r="L96" s="1234" t="n">
        <v>0</v>
      </c>
      <c r="M96" s="1234" t="n">
        <v>0</v>
      </c>
      <c r="N96" s="1234" t="n">
        <v>0</v>
      </c>
      <c r="O96" s="1234" t="n">
        <v>0</v>
      </c>
      <c r="P96" s="1219">
        <f>SUM(D96:O96)</f>
        <v/>
      </c>
    </row>
    <row customFormat="1" customHeight="1" ht="14.25" r="97" s="2362" spans="1:57">
      <c r="B97" s="2395" t="n"/>
      <c r="C97" s="2399" t="s">
        <v>210</v>
      </c>
      <c r="D97" s="1234">
        <f>SUMPRODUCT(('FY18 SET'!$B$4:$B67=$A$74)*('FY18 SET'!$F$4:$F67="实际OS")*('FY18 SET'!G$4:G$67))</f>
        <v/>
      </c>
      <c r="E97" s="1234">
        <f>SUMPRODUCT(('FY18 SET'!$B$4:$B67=$A$74)*('FY18 SET'!$F$4:$F67="实际OS")*('FY18 SET'!H$4:H$67))</f>
        <v/>
      </c>
      <c r="F97" s="1234">
        <f>SUMPRODUCT(('FY18 SET'!$B$4:$B67=$A$74)*('FY18 SET'!$F$4:$F67="实际OS")*('FY18 SET'!I$4:I$67))</f>
        <v/>
      </c>
      <c r="G97" s="1234">
        <f>SUMPRODUCT(('FY18 SET'!$B$4:$B67=$A$74)*('FY18 SET'!$F$4:$F67="实际OS")*('FY18 SET'!J$4:J$67))</f>
        <v/>
      </c>
      <c r="H97" s="1234">
        <f>SUMPRODUCT(('FY18 SET'!$B$4:$B67=$A$74)*('FY18 SET'!$F$4:$F67="实际OS")*('FY18 SET'!K$4:K$67))</f>
        <v/>
      </c>
      <c r="I97" s="1234">
        <f>SUMPRODUCT(('FY18 SET'!$B$4:$B67=$A$74)*('FY18 SET'!$F$4:$F67="实际OS")*('FY18 SET'!L$4:L$67))</f>
        <v/>
      </c>
      <c r="J97" s="1234">
        <f>SUMPRODUCT(('FY18 SET'!$B$4:$B67=$A$74)*('FY18 SET'!$F$4:$F67="实际OS")*('FY18 SET'!N$4:N$67))</f>
        <v/>
      </c>
      <c r="K97" s="1234">
        <f>SUMPRODUCT(('FY18 SET'!$B$4:$B67=$A$74)*('FY18 SET'!$F$4:$F67="实际OS")*('FY18 SET'!O$4:O$67))</f>
        <v/>
      </c>
      <c r="L97" s="1234">
        <f>SUMPRODUCT(('FY18 SET'!$B$4:$B67=$A$74)*('FY18 SET'!$F$4:$F67="实际OS")*('FY18 SET'!P$4:P$67))</f>
        <v/>
      </c>
      <c r="M97" s="1234">
        <f>SUMPRODUCT(('FY18 SET'!$B$4:$B67=$A$74)*('FY18 SET'!$F$4:$F67="实际OS")*('FY18 SET'!Q$4:Q$67))</f>
        <v/>
      </c>
      <c r="N97" s="1234">
        <f>SUMPRODUCT(('FY18 SET'!$B$4:$B67=$A$74)*('FY18 SET'!$F$4:$F67="实际OS")*('FY18 SET'!R$4:R$67))</f>
        <v/>
      </c>
      <c r="O97" s="1234">
        <f>SUMPRODUCT(('FY18 SET'!$B$4:$B67=$A$74)*('FY18 SET'!$F$4:$F67="实际OS")*('FY18 SET'!S$4:S$67))</f>
        <v/>
      </c>
      <c r="P97" s="1219">
        <f>SUM(D97:O97)</f>
        <v/>
      </c>
    </row>
    <row customFormat="1" customHeight="1" ht="14.25" r="98" s="2362" spans="1:57">
      <c r="B98" s="1231" t="n"/>
      <c r="C98" s="2400" t="s">
        <v>211</v>
      </c>
      <c r="D98" s="1233">
        <f>SUM(D95:D97)</f>
        <v/>
      </c>
      <c r="E98" s="1233">
        <f>SUM(E96:E97)</f>
        <v/>
      </c>
      <c r="F98" s="1233">
        <f>SUM(F96:F97)</f>
        <v/>
      </c>
      <c r="G98" s="1233">
        <f>SUM(G96:G97)</f>
        <v/>
      </c>
      <c r="H98" s="1233">
        <f>SUM(H96:H97)</f>
        <v/>
      </c>
      <c r="I98" s="1233">
        <f>SUM(I96:I97)</f>
        <v/>
      </c>
      <c r="J98" s="1233">
        <f>SUM(J96:J97)</f>
        <v/>
      </c>
      <c r="K98" s="1233">
        <f>SUM(K96:K97)</f>
        <v/>
      </c>
      <c r="L98" s="1233">
        <f>SUM(L96:L97)</f>
        <v/>
      </c>
      <c r="M98" s="1233">
        <f>SUM(M96:M97)</f>
        <v/>
      </c>
      <c r="N98" s="1233">
        <f>SUM(N96:N97)</f>
        <v/>
      </c>
      <c r="O98" s="1233">
        <f>SUM(O96:O97)</f>
        <v/>
      </c>
      <c r="P98" s="1219">
        <f>SUM(D98:O98)</f>
        <v/>
      </c>
    </row>
    <row customFormat="1" customHeight="1" ht="14.25" r="99" s="2362" spans="1:57">
      <c r="A99" s="2416" t="s">
        <v>219</v>
      </c>
      <c r="B99" s="2417" t="n"/>
      <c r="C99" s="2418" t="s">
        <v>220</v>
      </c>
      <c r="D99" s="1278">
        <f>SUM(D93,D95)</f>
        <v/>
      </c>
      <c r="E99" s="1278">
        <f>SUM(E93,E95)</f>
        <v/>
      </c>
      <c r="F99" s="1278">
        <f>SUM(F93,F95)</f>
        <v/>
      </c>
      <c r="G99" s="1278">
        <f>SUM(G93,G95)</f>
        <v/>
      </c>
      <c r="H99" s="1278">
        <f>SUM(H93,H95)</f>
        <v/>
      </c>
      <c r="I99" s="1278">
        <f>SUM(I93,I95)</f>
        <v/>
      </c>
      <c r="J99" s="1278">
        <f>SUM(J93,J95)</f>
        <v/>
      </c>
      <c r="K99" s="1278">
        <f>SUM(K93,K95)</f>
        <v/>
      </c>
      <c r="L99" s="1278">
        <f>SUM(L93,L95)</f>
        <v/>
      </c>
      <c r="M99" s="1278">
        <f>SUM(M93,M95)</f>
        <v/>
      </c>
      <c r="N99" s="1278">
        <f>SUM(N93,N95)</f>
        <v/>
      </c>
      <c r="O99" s="1278">
        <f>SUM(O93,O95)</f>
        <v/>
      </c>
      <c r="P99" s="1219">
        <f>SUM(D99:O99)</f>
        <v/>
      </c>
      <c r="Q99" s="2362" t="n"/>
      <c r="R99" s="2362" t="n"/>
      <c r="S99" s="2362" t="n"/>
      <c r="T99" s="2362" t="n"/>
      <c r="U99" s="2362" t="n"/>
      <c r="V99" s="2362" t="n"/>
      <c r="W99" s="2362" t="n"/>
      <c r="X99" s="2362" t="n"/>
      <c r="Y99" s="2362" t="n"/>
      <c r="Z99" s="2362" t="n"/>
      <c r="AA99" s="2362" t="n"/>
      <c r="AB99" s="2362" t="n"/>
      <c r="AC99" s="2362" t="n"/>
      <c r="AD99" s="2362" t="n"/>
      <c r="AE99" s="2362" t="n"/>
    </row>
    <row customFormat="1" customHeight="1" ht="14.25" r="100" s="2362" spans="1:57">
      <c r="B100" s="2419" t="n"/>
      <c r="C100" s="2420" t="s">
        <v>221</v>
      </c>
      <c r="D100" s="1279">
        <f>SUM(D94,D96:D97)</f>
        <v/>
      </c>
      <c r="E100" s="1279">
        <f>SUM(E94,E96:E97)</f>
        <v/>
      </c>
      <c r="F100" s="1279">
        <f>SUM(F94,F96:F97)</f>
        <v/>
      </c>
      <c r="G100" s="1279">
        <f>SUM(G94,G96:G97)</f>
        <v/>
      </c>
      <c r="H100" s="1279">
        <f>SUM(H94,H96:H97)</f>
        <v/>
      </c>
      <c r="I100" s="1279">
        <f>SUM(I94,I96:I97)</f>
        <v/>
      </c>
      <c r="J100" s="1279">
        <f>SUM(J94,J96:J97)</f>
        <v/>
      </c>
      <c r="K100" s="1279">
        <f>SUM(K94,K96:K97)</f>
        <v/>
      </c>
      <c r="L100" s="1279">
        <f>SUM(L94,L96:L97)</f>
        <v/>
      </c>
      <c r="M100" s="1279">
        <f>SUM(M94,M96:M97)</f>
        <v/>
      </c>
      <c r="N100" s="1279">
        <f>SUM(N94,N96:N97)</f>
        <v/>
      </c>
      <c r="O100" s="1279">
        <f>SUM(O94,O96:O97)</f>
        <v/>
      </c>
      <c r="P100" s="1219">
        <f>SUM(D100:O100)</f>
        <v/>
      </c>
      <c r="Q100" s="2362" t="n"/>
      <c r="R100" s="2362" t="n"/>
      <c r="S100" s="2362" t="n"/>
      <c r="T100" s="2362" t="n"/>
      <c r="U100" s="2362" t="n"/>
      <c r="V100" s="2362" t="n"/>
      <c r="W100" s="2362" t="n"/>
      <c r="X100" s="2362" t="n"/>
      <c r="Y100" s="2362" t="n"/>
      <c r="Z100" s="2362" t="n"/>
      <c r="AA100" s="2362" t="n"/>
      <c r="AB100" s="2362" t="n"/>
      <c r="AC100" s="2362" t="n"/>
      <c r="AD100" s="2362" t="n"/>
      <c r="AE100" s="2362" t="n"/>
    </row>
    <row customFormat="1" customHeight="1" ht="14.25" r="101" s="2362" spans="1:57">
      <c r="B101" s="1274" t="n"/>
      <c r="C101" s="2421" t="s">
        <v>222</v>
      </c>
      <c r="D101" s="1280">
        <f>SUM(D99:D100)</f>
        <v/>
      </c>
      <c r="E101" s="1276">
        <f>SUM(E99:E100)</f>
        <v/>
      </c>
      <c r="F101" s="1276">
        <f>SUM(F99:F100)</f>
        <v/>
      </c>
      <c r="G101" s="1276">
        <f>SUM(G99:G100)</f>
        <v/>
      </c>
      <c r="H101" s="1276">
        <f>SUM(H99:H100)</f>
        <v/>
      </c>
      <c r="I101" s="1276">
        <f>SUM(I99:I100)</f>
        <v/>
      </c>
      <c r="J101" s="1276">
        <f>SUM(J99:J100)</f>
        <v/>
      </c>
      <c r="K101" s="1276">
        <f>SUM(K99:K100)</f>
        <v/>
      </c>
      <c r="L101" s="1276">
        <f>SUM(L99:L100)</f>
        <v/>
      </c>
      <c r="M101" s="1276">
        <f>SUM(M99:M100)</f>
        <v/>
      </c>
      <c r="N101" s="1276">
        <f>SUM(N99:N100)</f>
        <v/>
      </c>
      <c r="O101" s="1277">
        <f>SUM(O99:O100)</f>
        <v/>
      </c>
      <c r="P101" s="1219">
        <f>SUM(D101:O101)</f>
        <v/>
      </c>
      <c r="Q101" s="2362" t="n"/>
      <c r="R101" s="2362" t="n"/>
      <c r="S101" s="2362" t="n"/>
      <c r="T101" s="2362" t="n"/>
      <c r="U101" s="2362" t="n"/>
      <c r="V101" s="2362" t="n"/>
      <c r="W101" s="2362" t="n"/>
      <c r="X101" s="2362" t="n"/>
      <c r="Y101" s="2362" t="n"/>
      <c r="Z101" s="2362" t="n"/>
      <c r="AA101" s="2362" t="n"/>
      <c r="AB101" s="2362" t="n"/>
      <c r="AC101" s="2362" t="n"/>
      <c r="AD101" s="2362" t="n"/>
      <c r="AE101" s="2362" t="n"/>
    </row>
    <row customHeight="1" ht="14.25" r="102" s="1843" spans="1:57">
      <c r="A102" s="2422" t="n"/>
      <c r="B102" s="2395" t="n"/>
      <c r="C102" s="2420" t="n"/>
      <c r="D102" s="1200" t="n"/>
      <c r="E102" s="1200" t="n"/>
      <c r="F102" s="1200" t="n"/>
      <c r="G102" s="1200" t="n"/>
      <c r="H102" s="1200" t="n"/>
      <c r="I102" s="1200" t="n"/>
      <c r="J102" s="1200" t="n"/>
      <c r="K102" s="1200" t="n"/>
      <c r="L102" s="1200" t="n"/>
      <c r="M102" s="1200" t="n"/>
      <c r="N102" s="1200" t="n"/>
      <c r="O102" s="1200" t="n"/>
      <c r="P102" s="2422" t="n"/>
      <c r="Q102" s="2362" t="n"/>
      <c r="R102" s="2362" t="n"/>
      <c r="S102" s="2362" t="n"/>
      <c r="T102" s="2362" t="n"/>
      <c r="U102" s="2362" t="n"/>
      <c r="V102" s="2362" t="n"/>
      <c r="W102" s="2362" t="n"/>
      <c r="X102" s="2362" t="n"/>
      <c r="Y102" s="2362" t="n"/>
      <c r="Z102" s="2362" t="n"/>
      <c r="AA102" s="2362" t="n"/>
      <c r="AB102" s="2362" t="n"/>
      <c r="AC102" s="2362" t="n"/>
      <c r="AD102" s="2362" t="n"/>
      <c r="AE102" s="2362" t="n"/>
    </row>
    <row customFormat="1" customHeight="1" ht="15.75" r="103" s="2362" spans="1:57">
      <c r="A103" s="2370" t="n"/>
      <c r="B103" s="80" t="n"/>
      <c r="C103" s="2371" t="n"/>
      <c r="D103" s="2372" t="n">
        <v>43191</v>
      </c>
      <c r="E103" s="2372" t="n">
        <v>43221</v>
      </c>
      <c r="F103" s="2372" t="n">
        <v>43252</v>
      </c>
      <c r="G103" s="2372" t="n">
        <v>43282</v>
      </c>
      <c r="H103" s="2372" t="n">
        <v>43313</v>
      </c>
      <c r="I103" s="2372" t="n">
        <v>43344</v>
      </c>
      <c r="J103" s="2372" t="n">
        <v>43374</v>
      </c>
      <c r="K103" s="2372" t="n">
        <v>43405</v>
      </c>
      <c r="L103" s="2372" t="n">
        <v>43435</v>
      </c>
      <c r="M103" s="2372" t="n">
        <v>43466</v>
      </c>
      <c r="N103" s="2372" t="n">
        <v>43497</v>
      </c>
      <c r="O103" s="2372" t="n">
        <v>43525</v>
      </c>
      <c r="P103" s="2373" t="s">
        <v>55</v>
      </c>
      <c r="Q103" s="2362" t="n"/>
      <c r="R103" s="2374" t="n"/>
      <c r="T103" s="2362" t="n"/>
      <c r="U103" s="2362" t="n"/>
      <c r="V103" s="2362" t="n"/>
      <c r="W103" s="2362" t="n"/>
      <c r="X103" s="2362" t="n"/>
      <c r="Y103" s="2362" t="n"/>
      <c r="Z103" s="2362" t="n"/>
      <c r="AA103" s="2362" t="n"/>
      <c r="AB103" s="2362" t="n"/>
      <c r="AC103" s="2362" t="n"/>
      <c r="AD103" s="2362" t="n"/>
      <c r="AE103" s="2362" t="n"/>
    </row>
    <row customFormat="1" customHeight="1" ht="15.75" r="104" s="2362" spans="1:57">
      <c r="A104" s="2375" t="n"/>
      <c r="B104" s="64" t="n"/>
      <c r="C104" s="2376" t="s">
        <v>187</v>
      </c>
      <c r="D104" s="1381">
        <f>D123*D642+D124*D643+D125*D644+D126*D645</f>
        <v/>
      </c>
      <c r="E104" s="1381">
        <f>E123*E642+E124*E643+E125*E644+E126*E645</f>
        <v/>
      </c>
      <c r="F104" s="1381">
        <f>F123*F642+F124*F643+F125*F644+F126*F645</f>
        <v/>
      </c>
      <c r="G104" s="1381">
        <f>G123*G642+G124*G643+G125*G644+G126*G645</f>
        <v/>
      </c>
      <c r="H104" s="1381">
        <f>H123*H642+H124*H643+H125*H644+H126*H645</f>
        <v/>
      </c>
      <c r="I104" s="1381">
        <f>I123*I642+I124*I643+I125*I644+I126*I645</f>
        <v/>
      </c>
      <c r="J104" s="1381">
        <f>J123*J642+J124*J643+J125*J644+J126*J645</f>
        <v/>
      </c>
      <c r="K104" s="1381">
        <f>K123*K642+K124*K643+K125*K644+K126*K645</f>
        <v/>
      </c>
      <c r="L104" s="1381">
        <f>L123*L642+L124*L643+L125*L644+L126*L645</f>
        <v/>
      </c>
      <c r="M104" s="1381">
        <f>M123*M642+M124*M643+M125*M644+M126*M645</f>
        <v/>
      </c>
      <c r="N104" s="1381">
        <f>N123*N642+N124*N643+N125*N644+N126*N645</f>
        <v/>
      </c>
      <c r="O104" s="1381">
        <f>O123*O642+O124*O643+O125*O644+O126*O645</f>
        <v/>
      </c>
      <c r="P104" s="1178">
        <f>SUM(D104:O104)</f>
        <v/>
      </c>
      <c r="Q104" s="2377" t="n"/>
      <c r="R104" s="2377" t="n"/>
      <c r="S104" s="2402" t="n"/>
      <c r="T104" s="2362" t="n"/>
      <c r="U104" s="2362" t="n"/>
      <c r="V104" s="2362" t="n"/>
      <c r="W104" s="2362" t="n"/>
      <c r="X104" s="2362" t="n"/>
      <c r="Y104" s="2362" t="n"/>
      <c r="Z104" s="2362" t="n"/>
      <c r="AA104" s="2362" t="n"/>
      <c r="AB104" s="2362" t="n"/>
      <c r="AC104" s="2362" t="n"/>
      <c r="AD104" s="2362" t="n"/>
      <c r="AE104" s="2362" t="n"/>
    </row>
    <row customFormat="1" customHeight="1" ht="15.75" r="105" s="2362" spans="1:57">
      <c r="A105" s="2403" t="n">
        <v>12277</v>
      </c>
      <c r="B105" s="66" t="n"/>
      <c r="C105" s="2379" t="s">
        <v>189</v>
      </c>
      <c r="D105" s="1380">
        <f>D35*D$127/D$57</f>
        <v/>
      </c>
      <c r="E105" s="1380">
        <f>E35*E$127/E$57</f>
        <v/>
      </c>
      <c r="F105" s="1380">
        <f>F35*F$127/F$57</f>
        <v/>
      </c>
      <c r="G105" s="1380">
        <f>G35*G$127/G$57</f>
        <v/>
      </c>
      <c r="H105" s="1380">
        <f>H35*H$127/H$57</f>
        <v/>
      </c>
      <c r="I105" s="1380">
        <f>I35*I$127/I$57</f>
        <v/>
      </c>
      <c r="J105" s="1380">
        <f>J35*J$127/J$57</f>
        <v/>
      </c>
      <c r="K105" s="1380">
        <f>K35*K$127/K$57</f>
        <v/>
      </c>
      <c r="L105" s="1380">
        <f>L35*L$127/L$57</f>
        <v/>
      </c>
      <c r="M105" s="1380">
        <f>M35*M$127/M$57</f>
        <v/>
      </c>
      <c r="N105" s="1380">
        <f>N35*N$127/N$57</f>
        <v/>
      </c>
      <c r="O105" s="1380">
        <f>O35*O$127/O$57</f>
        <v/>
      </c>
      <c r="P105" s="1179">
        <f>SUM(D105:O105)</f>
        <v/>
      </c>
      <c r="Q105" s="2377" t="n"/>
      <c r="R105" s="2377" t="n"/>
      <c r="S105" s="2402" t="n"/>
      <c r="T105" s="2362" t="n"/>
      <c r="U105" s="2362" t="n"/>
      <c r="V105" s="2362" t="n"/>
      <c r="W105" s="2362" t="n"/>
      <c r="X105" s="2362" t="n"/>
      <c r="Y105" s="2362" t="n"/>
      <c r="Z105" s="2362" t="n"/>
      <c r="AA105" s="2362" t="n"/>
      <c r="AB105" s="2362" t="n"/>
      <c r="AC105" s="2362" t="n"/>
      <c r="AD105" s="2362" t="n"/>
      <c r="AE105" s="2362" t="n"/>
    </row>
    <row customFormat="1" customHeight="1" ht="15.75" r="106" s="2362" spans="1:57">
      <c r="A106" s="2403" t="s">
        <v>94</v>
      </c>
      <c r="B106" s="66" t="n"/>
      <c r="C106" s="2379" t="s">
        <v>212</v>
      </c>
      <c r="D106" s="1376">
        <f>D36/2</f>
        <v/>
      </c>
      <c r="E106" s="1376">
        <f>E36/2</f>
        <v/>
      </c>
      <c r="F106" s="1376">
        <f>F36/2</f>
        <v/>
      </c>
      <c r="G106" s="1376">
        <f>G36/2</f>
        <v/>
      </c>
      <c r="H106" s="1376">
        <f>H36/2</f>
        <v/>
      </c>
      <c r="I106" s="1376">
        <f>I36/2</f>
        <v/>
      </c>
      <c r="J106" s="1376">
        <f>J36/2</f>
        <v/>
      </c>
      <c r="K106" s="1376">
        <f>K36/2</f>
        <v/>
      </c>
      <c r="L106" s="1376">
        <f>L36/2</f>
        <v/>
      </c>
      <c r="M106" s="1376">
        <f>M36/2</f>
        <v/>
      </c>
      <c r="N106" s="1376">
        <f>N36/2</f>
        <v/>
      </c>
      <c r="O106" s="1376">
        <f>O36/2</f>
        <v/>
      </c>
      <c r="P106" s="1179">
        <f>SUM(D106:O106)</f>
        <v/>
      </c>
      <c r="Q106" s="2377" t="n"/>
      <c r="R106" s="2377" t="n"/>
      <c r="S106" s="2402" t="n"/>
      <c r="T106" s="2362" t="n"/>
      <c r="U106" s="2362" t="n"/>
      <c r="V106" s="2362" t="n"/>
      <c r="W106" s="2362" t="n"/>
      <c r="X106" s="2362" t="n"/>
      <c r="Y106" s="2362" t="n"/>
      <c r="Z106" s="2362" t="n"/>
      <c r="AA106" s="2362" t="n"/>
      <c r="AB106" s="2362" t="n"/>
      <c r="AC106" s="2362" t="n"/>
      <c r="AD106" s="2362" t="n"/>
      <c r="AE106" s="2362" t="n"/>
    </row>
    <row customFormat="1" customHeight="1" ht="14.25" r="107" s="2362" spans="1:57">
      <c r="A107" s="2381" t="n"/>
      <c r="B107" s="66" t="n"/>
      <c r="C107" s="2379" t="s">
        <v>191</v>
      </c>
      <c r="D107" s="1380">
        <f>D37*D$127/D$57</f>
        <v/>
      </c>
      <c r="E107" s="1380">
        <f>E37*E$127/E$57</f>
        <v/>
      </c>
      <c r="F107" s="1380">
        <f>F37*F$127/F$57</f>
        <v/>
      </c>
      <c r="G107" s="1380">
        <f>G37*G$127/G$57</f>
        <v/>
      </c>
      <c r="H107" s="1380">
        <f>H37*H$127/H$57</f>
        <v/>
      </c>
      <c r="I107" s="1380">
        <f>I37*I$127/I$57</f>
        <v/>
      </c>
      <c r="J107" s="1380">
        <f>J37*J$127/J$57</f>
        <v/>
      </c>
      <c r="K107" s="1380">
        <f>K37*K$127/K$57</f>
        <v/>
      </c>
      <c r="L107" s="1380">
        <f>L37*L$127/L$57</f>
        <v/>
      </c>
      <c r="M107" s="1380">
        <f>M37*M$127/M$57</f>
        <v/>
      </c>
      <c r="N107" s="1380">
        <f>N37*N$127/N$57</f>
        <v/>
      </c>
      <c r="O107" s="1380">
        <f>O37*O$127/O$57</f>
        <v/>
      </c>
      <c r="P107" s="1179">
        <f>SUM(D107:O107)</f>
        <v/>
      </c>
      <c r="Q107" s="2377" t="n"/>
      <c r="R107" s="2377" t="n"/>
      <c r="S107" s="2402" t="n"/>
      <c r="T107" s="2362" t="n"/>
      <c r="U107" s="2362" t="n"/>
      <c r="V107" s="2362" t="n"/>
      <c r="W107" s="2362" t="n"/>
      <c r="X107" s="2362" t="n"/>
      <c r="Y107" s="2362" t="n"/>
      <c r="Z107" s="2362" t="n"/>
      <c r="AA107" s="2362" t="n"/>
      <c r="AB107" s="2362" t="n"/>
      <c r="AC107" s="2362" t="n"/>
      <c r="AD107" s="2362" t="n"/>
      <c r="AE107" s="2362" t="n"/>
    </row>
    <row customFormat="1" customHeight="1" ht="15.75" r="108" s="2362" spans="1:57">
      <c r="A108" s="2375" t="s">
        <v>82</v>
      </c>
      <c r="B108" s="66" t="n"/>
      <c r="C108" s="2379" t="s">
        <v>192</v>
      </c>
      <c r="D108" s="1380">
        <f>D38*D$127/D$57</f>
        <v/>
      </c>
      <c r="E108" s="1380">
        <f>E38*E$127/E$57</f>
        <v/>
      </c>
      <c r="F108" s="1380">
        <f>F38*F$127/F$57</f>
        <v/>
      </c>
      <c r="G108" s="1380">
        <f>G38*G$127/G$57</f>
        <v/>
      </c>
      <c r="H108" s="1380">
        <f>H38*H$127/H$57</f>
        <v/>
      </c>
      <c r="I108" s="1380">
        <f>I38*I$127/I$57</f>
        <v/>
      </c>
      <c r="J108" s="1380">
        <f>J38*J$127/J$57</f>
        <v/>
      </c>
      <c r="K108" s="1380">
        <f>K38*K$127/K$57</f>
        <v/>
      </c>
      <c r="L108" s="1380">
        <f>L38*L$127/L$57</f>
        <v/>
      </c>
      <c r="M108" s="1380">
        <f>M38*M$127/M$57</f>
        <v/>
      </c>
      <c r="N108" s="1380">
        <f>N38*N$127/N$57</f>
        <v/>
      </c>
      <c r="O108" s="1380">
        <f>O38*O$127/O$57</f>
        <v/>
      </c>
      <c r="P108" s="1179">
        <f>SUM(D108:O108)</f>
        <v/>
      </c>
      <c r="Q108" s="2377" t="n"/>
      <c r="R108" s="2377" t="n"/>
      <c r="S108" s="2402" t="n"/>
      <c r="T108" s="2362" t="n"/>
      <c r="U108" s="2362" t="n"/>
      <c r="V108" s="2362" t="n"/>
      <c r="W108" s="2362" t="n"/>
      <c r="X108" s="2362" t="n"/>
      <c r="Y108" s="2362" t="n"/>
      <c r="Z108" s="2362" t="n"/>
      <c r="AA108" s="2362" t="n"/>
      <c r="AB108" s="2362" t="n"/>
      <c r="AC108" s="2362" t="n"/>
      <c r="AD108" s="2362" t="n"/>
      <c r="AE108" s="2362" t="n"/>
    </row>
    <row customFormat="1" customHeight="1" ht="14.25" r="109" s="2362" spans="1:57">
      <c r="A109" s="2381" t="s">
        <v>81</v>
      </c>
      <c r="B109" s="66" t="n"/>
      <c r="C109" s="2379" t="s">
        <v>213</v>
      </c>
      <c r="D109" s="1497">
        <f>D39*D$127/D$57</f>
        <v/>
      </c>
      <c r="E109" s="1380">
        <f>E39*E$127/E$57</f>
        <v/>
      </c>
      <c r="F109" s="1380">
        <f>F39*F$127/F$57</f>
        <v/>
      </c>
      <c r="G109" s="1380">
        <f>G39*G$127/G$57</f>
        <v/>
      </c>
      <c r="H109" s="1380">
        <f>H39*H$127/H$57</f>
        <v/>
      </c>
      <c r="I109" s="1380">
        <f>I39*I$127/I$57</f>
        <v/>
      </c>
      <c r="J109" s="1380">
        <f>J39*J$127/J$57</f>
        <v/>
      </c>
      <c r="K109" s="1380">
        <f>K39*K$127/K$57</f>
        <v/>
      </c>
      <c r="L109" s="1380">
        <f>L39*L$127/L$57</f>
        <v/>
      </c>
      <c r="M109" s="1380">
        <f>M39*M$127/M$57</f>
        <v/>
      </c>
      <c r="N109" s="1380">
        <f>N39*N$127/N$57</f>
        <v/>
      </c>
      <c r="O109" s="1380">
        <f>O39*O$127/O$57</f>
        <v/>
      </c>
      <c r="P109" s="1180">
        <f>SUM(D109:O109)</f>
        <v/>
      </c>
      <c r="Q109" s="2377" t="n"/>
      <c r="R109" s="2377" t="n"/>
      <c r="S109" s="2402" t="n"/>
      <c r="T109" s="2362" t="n"/>
      <c r="U109" s="2362" t="n"/>
      <c r="V109" s="2362" t="n"/>
      <c r="W109" s="2362" t="n"/>
      <c r="X109" s="2362" t="n"/>
      <c r="Y109" s="2362" t="n"/>
      <c r="Z109" s="2362" t="n"/>
      <c r="AA109" s="2362" t="n"/>
      <c r="AB109" s="2362" t="n"/>
      <c r="AC109" s="2362" t="n"/>
      <c r="AD109" s="2362" t="n"/>
      <c r="AE109" s="2362" t="n"/>
    </row>
    <row customFormat="1" customHeight="1" ht="14.25" r="110" s="2362" spans="1:57">
      <c r="A110" s="2381" t="n"/>
      <c r="B110" s="123" t="n"/>
      <c r="C110" s="2405" t="s">
        <v>195</v>
      </c>
      <c r="D110" s="1175">
        <f>D40*D$127/D$57</f>
        <v/>
      </c>
      <c r="E110" s="1175">
        <f>E40*E$127/E$57</f>
        <v/>
      </c>
      <c r="F110" s="1175">
        <f>F40*F$127/F$57</f>
        <v/>
      </c>
      <c r="G110" s="1175">
        <f>G40*G$127/G$57</f>
        <v/>
      </c>
      <c r="H110" s="1175">
        <f>H40*H$127/H$57</f>
        <v/>
      </c>
      <c r="I110" s="1175">
        <f>I40*I$127/I$57</f>
        <v/>
      </c>
      <c r="J110" s="1175">
        <f>J40*J$127/J$57</f>
        <v/>
      </c>
      <c r="K110" s="1175">
        <f>K40*K$127/K$57</f>
        <v/>
      </c>
      <c r="L110" s="1175">
        <f>L40*L$127/L$57</f>
        <v/>
      </c>
      <c r="M110" s="1175">
        <f>M40*M$127/M$57</f>
        <v/>
      </c>
      <c r="N110" s="1175">
        <f>N40*N$127/N$57</f>
        <v/>
      </c>
      <c r="O110" s="1175">
        <f>O40*O$127/O$57</f>
        <v/>
      </c>
      <c r="P110" s="1176">
        <f>SUM(D110:O110)</f>
        <v/>
      </c>
      <c r="Q110" s="2377" t="n"/>
      <c r="R110" s="2377" t="n"/>
      <c r="S110" s="2402" t="n"/>
      <c r="T110" s="2362" t="n"/>
      <c r="U110" s="2362" t="n"/>
      <c r="V110" s="2362" t="n"/>
      <c r="W110" s="2362" t="n"/>
      <c r="X110" s="2362" t="n"/>
      <c r="Y110" s="2362" t="n"/>
      <c r="Z110" s="2362" t="n"/>
      <c r="AA110" s="2362" t="n"/>
      <c r="AB110" s="2362" t="n"/>
      <c r="AC110" s="2362" t="n"/>
      <c r="AD110" s="2362" t="n"/>
      <c r="AE110" s="2362" t="n"/>
    </row>
    <row customFormat="1" customHeight="1" ht="14.25" r="111" s="2362" spans="1:57">
      <c r="A111" s="2381" t="n"/>
      <c r="B111" s="70" t="s">
        <v>214</v>
      </c>
      <c r="C111" s="2406" t="n"/>
      <c r="D111" s="1062">
        <f>SUM(D104:D110)</f>
        <v/>
      </c>
      <c r="E111" s="1062">
        <f>SUM(E104:E110)</f>
        <v/>
      </c>
      <c r="F111" s="73">
        <f>SUM(F104:F110)</f>
        <v/>
      </c>
      <c r="G111" s="73">
        <f>SUM(G104:G110)</f>
        <v/>
      </c>
      <c r="H111" s="73">
        <f>SUM(H104:H110)</f>
        <v/>
      </c>
      <c r="I111" s="73">
        <f>SUM(I104:I110)</f>
        <v/>
      </c>
      <c r="J111" s="73">
        <f>SUM(J104:J110)</f>
        <v/>
      </c>
      <c r="K111" s="73">
        <f>SUM(K104:K110)</f>
        <v/>
      </c>
      <c r="L111" s="73">
        <f>SUM(L104:L110)</f>
        <v/>
      </c>
      <c r="M111" s="73">
        <f>SUM(M104:M110)</f>
        <v/>
      </c>
      <c r="N111" s="73">
        <f>SUM(N104:N110)</f>
        <v/>
      </c>
      <c r="O111" s="73">
        <f>SUM(O104:O110)</f>
        <v/>
      </c>
      <c r="P111" s="76">
        <f>SUM(D111:O111)</f>
        <v/>
      </c>
      <c r="R111" s="2362" t="n"/>
      <c r="S111" s="2362" t="n"/>
      <c r="T111" s="2362" t="n"/>
      <c r="U111" s="2362" t="n"/>
      <c r="V111" s="2362" t="n"/>
      <c r="W111" s="2362" t="n"/>
      <c r="X111" s="2362" t="n"/>
      <c r="Y111" s="2362" t="n"/>
      <c r="Z111" s="2362" t="n"/>
      <c r="AA111" s="2362" t="n"/>
      <c r="AB111" s="2362" t="n"/>
      <c r="AC111" s="2362" t="n"/>
      <c r="AD111" s="2362" t="n"/>
      <c r="AE111" s="2362" t="n"/>
    </row>
    <row customFormat="1" customHeight="1" ht="14.25" r="112" s="2362" spans="1:57">
      <c r="A112" s="2381" t="s">
        <v>81</v>
      </c>
      <c r="B112" s="66" t="n"/>
      <c r="C112" s="2385" t="s">
        <v>161</v>
      </c>
      <c r="D112" s="87">
        <f>D42*SUM(D$127,D$130:D$131)/SUM(D$57,D$60:D$61)</f>
        <v/>
      </c>
      <c r="E112" s="87">
        <f>E42*SUM(E$127,E$130:E$131)/SUM(E$57,E$60:E$61)</f>
        <v/>
      </c>
      <c r="F112" s="87">
        <f>F42*SUM(F$127,F$130:F$131)/SUM(F$57,F$60:F$61)</f>
        <v/>
      </c>
      <c r="G112" s="87">
        <f>G42*SUM(G$127,G$130:G$131)/SUM(G$57,G$60:G$61)</f>
        <v/>
      </c>
      <c r="H112" s="87">
        <f>H42*SUM(H$127,H$130:H$131)/SUM(H$57,H$60:H$61)</f>
        <v/>
      </c>
      <c r="I112" s="87">
        <f>I42*SUM(I$127,I$130:I$131)/SUM(I$57,I$60:I$61)</f>
        <v/>
      </c>
      <c r="J112" s="87">
        <f>J42*SUM(J$127,J$130:J$131)/SUM(J$57,J$60:J$61)</f>
        <v/>
      </c>
      <c r="K112" s="87">
        <f>K42*SUM(K$127,K$130:K$131)/SUM(K$57,K$60:K$61)</f>
        <v/>
      </c>
      <c r="L112" s="87">
        <f>L42*SUM(L$127,L$130:L$131)/SUM(L$57,L$60:L$61)</f>
        <v/>
      </c>
      <c r="M112" s="87">
        <f>M42*SUM(M$127,M$130:M$131)/SUM(M$57,M$60:M$61)</f>
        <v/>
      </c>
      <c r="N112" s="87">
        <f>N42*SUM(N$127,N$130:N$131)/SUM(N$57,N$60:N$61)</f>
        <v/>
      </c>
      <c r="O112" s="87">
        <f>O42*SUM(O$127,O$130:O$131)/SUM(O$57,O$60:O$61)</f>
        <v/>
      </c>
      <c r="P112" s="85">
        <f>SUM(D112:O112)</f>
        <v/>
      </c>
      <c r="Q112" s="2377" t="n"/>
      <c r="R112" s="2377" t="n"/>
      <c r="S112" s="2402" t="n"/>
      <c r="T112" s="2362" t="n"/>
      <c r="U112" s="2362" t="n"/>
      <c r="V112" s="2362" t="n"/>
      <c r="W112" s="2362" t="n"/>
      <c r="X112" s="2362" t="n"/>
      <c r="Y112" s="2362" t="n"/>
      <c r="Z112" s="2362" t="n"/>
      <c r="AA112" s="2362" t="n"/>
      <c r="AB112" s="2362" t="n"/>
      <c r="AC112" s="2362" t="n"/>
      <c r="AD112" s="2362" t="n"/>
      <c r="AE112" s="2362" t="n"/>
    </row>
    <row customFormat="1" customHeight="1" ht="14.25" r="113" s="2362" spans="1:57">
      <c r="A113" s="2427" t="n"/>
      <c r="B113" s="123" t="n"/>
      <c r="C113" s="2385" t="s">
        <v>215</v>
      </c>
      <c r="D113" s="87">
        <f>D43*SUM(D$127)/SUM(D$57)</f>
        <v/>
      </c>
      <c r="E113" s="87">
        <f>E43*SUM(E$127)/SUM(E$57)</f>
        <v/>
      </c>
      <c r="F113" s="87">
        <f>F43*SUM(F$127)/SUM(F$57)</f>
        <v/>
      </c>
      <c r="G113" s="87">
        <f>G43*SUM(G$127)/SUM(G$57)</f>
        <v/>
      </c>
      <c r="H113" s="87">
        <f>H43*SUM(H$127)/SUM(H$57)</f>
        <v/>
      </c>
      <c r="I113" s="87">
        <f>I43*SUM(I$127)/SUM(I$57)</f>
        <v/>
      </c>
      <c r="J113" s="87">
        <f>J43*SUM(J$127)/SUM(J$57)</f>
        <v/>
      </c>
      <c r="K113" s="87">
        <f>K43*SUM(K$127)/SUM(K$57)</f>
        <v/>
      </c>
      <c r="L113" s="87">
        <f>L43*SUM(L$127)/SUM(L$57)</f>
        <v/>
      </c>
      <c r="M113" s="87">
        <f>M43*SUM(M$127)/SUM(M$57)</f>
        <v/>
      </c>
      <c r="N113" s="87">
        <f>N43*SUM(N$127)/SUM(N$57)</f>
        <v/>
      </c>
      <c r="O113" s="87">
        <f>O43*SUM(O$127)/SUM(O$57)</f>
        <v/>
      </c>
      <c r="P113" s="85">
        <f>SUM(D113:O113)</f>
        <v/>
      </c>
      <c r="Q113" s="2377" t="n"/>
      <c r="R113" s="2377" t="n"/>
      <c r="S113" s="2402" t="n"/>
      <c r="T113" s="2362" t="n"/>
      <c r="U113" s="2362" t="n"/>
      <c r="V113" s="2362" t="n"/>
      <c r="W113" s="2362" t="n"/>
      <c r="X113" s="2362" t="n"/>
      <c r="Y113" s="2362" t="n"/>
      <c r="Z113" s="2362" t="n"/>
      <c r="AA113" s="2362" t="n"/>
      <c r="AB113" s="2362" t="n"/>
      <c r="AC113" s="2362" t="n"/>
      <c r="AD113" s="2362" t="n"/>
      <c r="AE113" s="2362" t="n"/>
    </row>
    <row customFormat="1" customHeight="1" ht="14.25" r="114" s="2362" spans="1:57">
      <c r="A114" s="2407" t="n"/>
      <c r="B114" s="1171" t="n"/>
      <c r="C114" s="2386" t="s">
        <v>197</v>
      </c>
      <c r="D114" s="87">
        <f>D44*SUM(D$134)/SUM(D$64)</f>
        <v/>
      </c>
      <c r="E114" s="87">
        <f>E44*SUM(E$134)/SUM(E$64)</f>
        <v/>
      </c>
      <c r="F114" s="87">
        <f>F44*SUM(F$134)/SUM(F$64)</f>
        <v/>
      </c>
      <c r="G114" s="87">
        <f>G44*SUM(G$134)/SUM(G$64)</f>
        <v/>
      </c>
      <c r="H114" s="87">
        <f>H44*SUM(H$134)/SUM(H$64)</f>
        <v/>
      </c>
      <c r="I114" s="87">
        <f>I44*SUM(I$134)/SUM(I$64)</f>
        <v/>
      </c>
      <c r="J114" s="87">
        <f>J44*SUM(J$134)/SUM(J$64)</f>
        <v/>
      </c>
      <c r="K114" s="87">
        <f>K44*SUM(K$134)/SUM(K$64)</f>
        <v/>
      </c>
      <c r="L114" s="87">
        <f>L44*SUM(L$134)/SUM(L$64)</f>
        <v/>
      </c>
      <c r="M114" s="87">
        <f>M44*SUM(M$134)/SUM(M$64)</f>
        <v/>
      </c>
      <c r="N114" s="87">
        <f>N44*SUM(N$134)/SUM(N$64)</f>
        <v/>
      </c>
      <c r="O114" s="87">
        <f>O44*SUM(O$134)/SUM(O$64)</f>
        <v/>
      </c>
      <c r="P114" s="85">
        <f>SUM(D114:O114)</f>
        <v/>
      </c>
      <c r="Q114" s="2377" t="n"/>
      <c r="R114" s="2377" t="n"/>
      <c r="S114" s="2402" t="n"/>
      <c r="T114" s="2362" t="n"/>
      <c r="U114" s="2362" t="n"/>
      <c r="V114" s="2362" t="n"/>
      <c r="W114" s="2362" t="n"/>
      <c r="X114" s="2362" t="n"/>
      <c r="Y114" s="2362" t="n"/>
      <c r="Z114" s="2362" t="n"/>
      <c r="AA114" s="2362" t="n"/>
      <c r="AB114" s="2362" t="n"/>
      <c r="AC114" s="2362" t="n"/>
      <c r="AD114" s="2362" t="n"/>
      <c r="AE114" s="2362" t="n"/>
    </row>
    <row customFormat="1" customHeight="1" ht="14.25" r="115" s="2362" spans="1:57">
      <c r="A115" s="2407" t="n"/>
      <c r="B115" s="123" t="n"/>
      <c r="C115" s="2386" t="s">
        <v>198</v>
      </c>
      <c r="D115" s="87">
        <f>D45*SUM(D$129,D$131)/SUM(D$59,D$61)</f>
        <v/>
      </c>
      <c r="E115" s="87">
        <f>E45*SUM(E$129,E$131)/SUM(E$59,E$61)</f>
        <v/>
      </c>
      <c r="F115" s="87">
        <f>F45*SUM(F$129,F$131)/SUM(F$59,F$61)</f>
        <v/>
      </c>
      <c r="G115" s="87">
        <f>G45*SUM(G$129,G$131)/SUM(G$59,G$61)</f>
        <v/>
      </c>
      <c r="H115" s="87">
        <f>H45*SUM(H$129,H$131)/SUM(H$59,H$61)</f>
        <v/>
      </c>
      <c r="I115" s="87">
        <f>I45*SUM(I$129,I$131)/SUM(I$59,I$61)</f>
        <v/>
      </c>
      <c r="J115" s="87">
        <f>J45*SUM(J$129,J$131)/SUM(J$59,J$61)</f>
        <v/>
      </c>
      <c r="K115" s="87">
        <f>K45*SUM(K$129,K$131)/SUM(K$59,K$61)</f>
        <v/>
      </c>
      <c r="L115" s="87">
        <f>L45*SUM(L$129,L$131)/SUM(L$59,L$61)</f>
        <v/>
      </c>
      <c r="M115" s="87">
        <f>M45*SUM(M$129,M$131)/SUM(M$59,M$61)</f>
        <v/>
      </c>
      <c r="N115" s="87">
        <f>N45*SUM(N$129,N$131)/SUM(N$59,N$61)</f>
        <v/>
      </c>
      <c r="O115" s="87">
        <f>O45*SUM(O$129,O$131)/SUM(O$59,O$61)</f>
        <v/>
      </c>
      <c r="P115" s="85">
        <f>SUM(D115:O115)</f>
        <v/>
      </c>
      <c r="Q115" s="2402" t="n"/>
      <c r="T115" s="2362" t="n"/>
      <c r="U115" s="2362" t="n"/>
      <c r="V115" s="2362" t="n"/>
      <c r="W115" s="2362" t="n"/>
      <c r="X115" s="2362" t="n"/>
      <c r="Y115" s="2362" t="n"/>
      <c r="Z115" s="2362" t="n"/>
      <c r="AA115" s="2362" t="n"/>
      <c r="AB115" s="2362" t="n"/>
      <c r="AC115" s="2362" t="n"/>
      <c r="AD115" s="2362" t="n"/>
      <c r="AE115" s="2362" t="n"/>
    </row>
    <row customFormat="1" customHeight="1" ht="14.25" r="116" s="2362" spans="1:57">
      <c r="A116" s="2407" t="n"/>
      <c r="B116" s="123" t="n"/>
      <c r="C116" s="2385" t="s">
        <v>199</v>
      </c>
      <c r="D116" s="87">
        <f>D46*SUM(D$134)/SUM(D$64)</f>
        <v/>
      </c>
      <c r="E116" s="87">
        <f>E46*SUM(E$134)/SUM(E$64)</f>
        <v/>
      </c>
      <c r="F116" s="87">
        <f>F46*SUM(F$134)/SUM(F$64)</f>
        <v/>
      </c>
      <c r="G116" s="87">
        <f>G46*SUM(G$134)/SUM(G$64)</f>
        <v/>
      </c>
      <c r="H116" s="87">
        <f>H46*SUM(H$134)/SUM(H$64)</f>
        <v/>
      </c>
      <c r="I116" s="87">
        <f>I46*SUM(I$134)/SUM(I$64)</f>
        <v/>
      </c>
      <c r="J116" s="87">
        <f>J46*SUM(J$134)/SUM(J$64)</f>
        <v/>
      </c>
      <c r="K116" s="87">
        <f>K46*SUM(K$134)/SUM(K$64)</f>
        <v/>
      </c>
      <c r="L116" s="87">
        <f>L46*SUM(L$134)/SUM(L$64)</f>
        <v/>
      </c>
      <c r="M116" s="87">
        <f>M46*SUM(M$134)/SUM(M$64)</f>
        <v/>
      </c>
      <c r="N116" s="87">
        <f>N46*SUM(N$134)/SUM(N$64)</f>
        <v/>
      </c>
      <c r="O116" s="87">
        <f>O46*SUM(O$134)/SUM(O$64)</f>
        <v/>
      </c>
      <c r="P116" s="85">
        <f>SUM(D116:O116)</f>
        <v/>
      </c>
      <c r="Q116" s="2402" t="n"/>
      <c r="R116" s="2377" t="n"/>
      <c r="S116" s="2402" t="n"/>
      <c r="T116" s="2362" t="n"/>
      <c r="U116" s="2362" t="n"/>
      <c r="V116" s="2362" t="n"/>
      <c r="W116" s="2362" t="n"/>
      <c r="X116" s="2362" t="n"/>
      <c r="Y116" s="2362" t="n"/>
      <c r="Z116" s="2362" t="n"/>
      <c r="AA116" s="2362" t="n"/>
      <c r="AB116" s="2362" t="n"/>
      <c r="AC116" s="2362" t="n"/>
      <c r="AD116" s="2362" t="n"/>
      <c r="AE116" s="2362" t="n"/>
    </row>
    <row customFormat="1" customHeight="1" ht="14.25" r="117" s="2362" spans="1:57">
      <c r="A117" s="2407" t="n"/>
      <c r="B117" s="123" t="n"/>
      <c r="C117" s="2385" t="s">
        <v>200</v>
      </c>
      <c r="D117" s="87">
        <f>D47*SUM(D$129,D$131)/SUM(D$59,D$61)</f>
        <v/>
      </c>
      <c r="E117" s="87">
        <f>E47*SUM(E$129,E$131)/SUM(E$59,E$61)</f>
        <v/>
      </c>
      <c r="F117" s="87">
        <f>F47*SUM(F$129,F$131)/SUM(F$59,F$61)</f>
        <v/>
      </c>
      <c r="G117" s="87">
        <f>G47*SUM(G$129,G$131)/SUM(G$59,G$61)</f>
        <v/>
      </c>
      <c r="H117" s="87">
        <f>H47*SUM(H$129,H$131)/SUM(H$59,H$61)</f>
        <v/>
      </c>
      <c r="I117" s="87">
        <f>I47*SUM(I$129,I$131)/SUM(I$59,I$61)</f>
        <v/>
      </c>
      <c r="J117" s="87">
        <f>J47*SUM(J$129,J$131)/SUM(J$59,J$61)</f>
        <v/>
      </c>
      <c r="K117" s="87">
        <f>K47*SUM(K$129,K$131)/SUM(K$59,K$61)</f>
        <v/>
      </c>
      <c r="L117" s="87">
        <f>L47*SUM(L$129,L$131)/SUM(L$59,L$61)</f>
        <v/>
      </c>
      <c r="M117" s="87">
        <f>M47*SUM(M$129,M$131)/SUM(M$59,M$61)</f>
        <v/>
      </c>
      <c r="N117" s="87">
        <f>N47*SUM(N$129,N$131)/SUM(N$59,N$61)</f>
        <v/>
      </c>
      <c r="O117" s="87">
        <f>O47*SUM(O$129,O$131)/SUM(O$59,O$61)</f>
        <v/>
      </c>
      <c r="P117" s="85">
        <f>SUM(D117:O117)</f>
        <v/>
      </c>
      <c r="Q117" s="2402" t="n"/>
      <c r="R117" s="2377" t="n"/>
      <c r="S117" s="2402" t="n"/>
      <c r="T117" s="2362" t="n"/>
      <c r="U117" s="2362" t="n"/>
      <c r="V117" s="2362" t="n"/>
      <c r="W117" s="2362" t="n"/>
      <c r="X117" s="2362" t="n"/>
      <c r="Y117" s="2362" t="n"/>
      <c r="Z117" s="2362" t="n"/>
      <c r="AA117" s="2362" t="n"/>
      <c r="AB117" s="2362" t="n"/>
      <c r="AC117" s="2362" t="n"/>
      <c r="AD117" s="2362" t="n"/>
      <c r="AE117" s="2362" t="n"/>
    </row>
    <row customFormat="1" customHeight="1" ht="14.25" r="118" s="2362" spans="1:57">
      <c r="A118" s="2408" t="n"/>
      <c r="B118" s="71" t="n"/>
      <c r="C118" s="2385" t="s">
        <v>201</v>
      </c>
      <c r="D118" s="87">
        <f>D48*SUM(D$127,D$130:D$131)/SUM(D$57,D$60:D$61)</f>
        <v/>
      </c>
      <c r="E118" s="87">
        <f>E48*SUM(E$127,E$130:E$131)/SUM(E$57,E$60:E$61)</f>
        <v/>
      </c>
      <c r="F118" s="87">
        <f>F48*SUM(F$127,F$130:F$131)/SUM(F$57,F$60:F$61)</f>
        <v/>
      </c>
      <c r="G118" s="87">
        <f>G48*SUM(G$127,G$130:G$131)/SUM(G$57,G$60:G$61)</f>
        <v/>
      </c>
      <c r="H118" s="87">
        <f>H48*SUM(H$127,H$130:H$131)/SUM(H$57,H$60:H$61)</f>
        <v/>
      </c>
      <c r="I118" s="87">
        <f>I48*SUM(I$127,I$130:I$131)/SUM(I$57,I$60:I$61)</f>
        <v/>
      </c>
      <c r="J118" s="87">
        <f>J48*SUM(J$127,J$130:J$131)/SUM(J$57,J$60:J$61)</f>
        <v/>
      </c>
      <c r="K118" s="87">
        <f>K48*SUM(K$127,K$130:K$131)/SUM(K$57,K$60:K$61)</f>
        <v/>
      </c>
      <c r="L118" s="87">
        <f>L48*SUM(L$127,L$130:L$131)/SUM(L$57,L$60:L$61)</f>
        <v/>
      </c>
      <c r="M118" s="87">
        <f>M48*SUM(M$127,M$130:M$131)/SUM(M$57,M$60:M$61)</f>
        <v/>
      </c>
      <c r="N118" s="87">
        <f>N48*SUM(N$127,N$130:N$131)/SUM(N$57,N$60:N$61)</f>
        <v/>
      </c>
      <c r="O118" s="87">
        <f>O48*SUM(O$127,O$130:O$131)/SUM(O$57,O$60:O$61)</f>
        <v/>
      </c>
      <c r="P118" s="122">
        <f>SUM(D118:O118)</f>
        <v/>
      </c>
      <c r="Q118" s="2377" t="n"/>
      <c r="R118" s="2377" t="n"/>
      <c r="S118" s="2402" t="n"/>
      <c r="T118" s="2362" t="n"/>
      <c r="U118" s="2362" t="n"/>
      <c r="V118" s="2362" t="n"/>
      <c r="W118" s="2362" t="n"/>
      <c r="X118" s="2362" t="n"/>
      <c r="Y118" s="2362" t="n"/>
      <c r="Z118" s="2362" t="n"/>
      <c r="AA118" s="2362" t="n"/>
      <c r="AB118" s="2362" t="n"/>
      <c r="AC118" s="2362" t="n"/>
      <c r="AD118" s="2362" t="n"/>
      <c r="AE118" s="2362" t="n"/>
    </row>
    <row customFormat="1" customHeight="1" ht="36" r="119" s="2362" spans="1:57">
      <c r="A119" s="2408" t="n"/>
      <c r="B119" s="1171" t="n"/>
      <c r="C119" s="2387" t="s">
        <v>202</v>
      </c>
      <c r="D119" s="2423">
        <f>D49*SUM(D$129,D$131)/SUM(D$59,D$61)</f>
        <v/>
      </c>
      <c r="E119" s="2423">
        <f>E49*SUM(E$129,E$131)/SUM(E$59,E$61)</f>
        <v/>
      </c>
      <c r="F119" s="2423">
        <f>F49*SUM(F$129,F$131)/SUM(F$59,F$61)</f>
        <v/>
      </c>
      <c r="G119" s="2423">
        <f>G49*SUM(G$129,G$131)/SUM(G$59,G$61)</f>
        <v/>
      </c>
      <c r="H119" s="2423">
        <f>H49*SUM(H$129,H$131)/SUM(H$59,H$61)</f>
        <v/>
      </c>
      <c r="I119" s="2423">
        <f>I49*SUM(I$129,I$131)/SUM(I$59,I$61)</f>
        <v/>
      </c>
      <c r="J119" s="2423">
        <f>J49*SUM(J$129,J$131)/SUM(J$59,J$61)</f>
        <v/>
      </c>
      <c r="K119" s="2423">
        <f>K49*SUM(K$129,K$131)/SUM(K$59,K$61)</f>
        <v/>
      </c>
      <c r="L119" s="2423">
        <f>L49*SUM(L$129,L$131)/SUM(L$59,L$61)</f>
        <v/>
      </c>
      <c r="M119" s="2423">
        <f>M49*SUM(M$129,M$131)/SUM(M$59,M$61)</f>
        <v/>
      </c>
      <c r="N119" s="2423">
        <f>N49*SUM(N$129,N$131)/SUM(N$59,N$61)</f>
        <v/>
      </c>
      <c r="O119" s="2423">
        <f>O49*SUM(O$129,O$131)/SUM(O$59,O$61)</f>
        <v/>
      </c>
      <c r="P119" s="93">
        <f>SUM(D119:O119)</f>
        <v/>
      </c>
      <c r="Q119" s="2377" t="n"/>
      <c r="R119" s="2377" t="n"/>
      <c r="S119" s="2402" t="n"/>
      <c r="T119" s="2362" t="n"/>
      <c r="U119" s="2362" t="n"/>
      <c r="V119" s="2362" t="n"/>
      <c r="W119" s="2362" t="n"/>
      <c r="X119" s="2362" t="n"/>
      <c r="Y119" s="2362" t="n"/>
      <c r="Z119" s="2362" t="n"/>
      <c r="AA119" s="2362" t="n"/>
      <c r="AB119" s="2362" t="n"/>
      <c r="AC119" s="2362" t="n"/>
      <c r="AD119" s="2362" t="n"/>
      <c r="AE119" s="2362" t="n"/>
    </row>
    <row customFormat="1" customHeight="1" ht="14.25" r="120" s="2362" spans="1:57">
      <c r="A120" s="2407" t="n"/>
      <c r="B120" s="139" t="n"/>
      <c r="C120" s="2409" t="s">
        <v>216</v>
      </c>
      <c r="D120" s="128">
        <f>D50*SUM(D$127,D$130:D$131)/SUM(D$57,D$60:D$61)</f>
        <v/>
      </c>
      <c r="E120" s="128">
        <f>E50*SUM(E$127,E$130:E$131)/SUM(E$57,E$60:E$61)</f>
        <v/>
      </c>
      <c r="F120" s="128">
        <f>F50*SUM(F$127,F$130:F$131)/SUM(F$57,F$60:F$61)</f>
        <v/>
      </c>
      <c r="G120" s="128">
        <f>G50*SUM(G$127,G$130:G$131)/SUM(G$57,G$60:G$61)</f>
        <v/>
      </c>
      <c r="H120" s="128">
        <f>H50*SUM(H$127,H$130:H$131)/SUM(H$57,H$60:H$61)</f>
        <v/>
      </c>
      <c r="I120" s="128">
        <f>I50*SUM(I$127,I$130:I$131)/SUM(I$57,I$60:I$61)</f>
        <v/>
      </c>
      <c r="J120" s="128">
        <f>J50*SUM(J$127,J$130:J$131)/SUM(J$57,J$60:J$61)</f>
        <v/>
      </c>
      <c r="K120" s="128">
        <f>K50*SUM(K$127,K$130:K$131)/SUM(K$57,K$60:K$61)</f>
        <v/>
      </c>
      <c r="L120" s="128">
        <f>L50*SUM(L$127,L$130:L$131)/SUM(L$57,L$60:L$61)</f>
        <v/>
      </c>
      <c r="M120" s="128">
        <f>M50*SUM(M$127,M$130:M$131)/SUM(M$57,M$60:M$61)</f>
        <v/>
      </c>
      <c r="N120" s="128">
        <f>N50*SUM(N$127,N$130:N$131)/SUM(N$57,N$60:N$61)</f>
        <v/>
      </c>
      <c r="O120" s="128">
        <f>O50*SUM(O$127,O$130:O$131)/SUM(O$57,O$60:O$61)</f>
        <v/>
      </c>
      <c r="P120" s="129">
        <f>SUM(D120:O120)</f>
        <v/>
      </c>
      <c r="Q120" s="2362" t="n"/>
      <c r="R120" s="2362" t="n"/>
      <c r="S120" s="2362" t="n"/>
      <c r="T120" s="2362" t="n"/>
      <c r="U120" s="2362" t="n"/>
      <c r="V120" s="2362" t="n"/>
      <c r="W120" s="2362" t="n"/>
      <c r="X120" s="2362" t="n"/>
      <c r="Y120" s="2362" t="n"/>
      <c r="Z120" s="2362" t="n"/>
      <c r="AA120" s="2362" t="n"/>
      <c r="AB120" s="2362" t="n"/>
      <c r="AC120" s="2362" t="n"/>
      <c r="AD120" s="2362" t="n"/>
      <c r="AE120" s="2362" t="n"/>
    </row>
    <row customFormat="1" customHeight="1" ht="15" r="121" s="2362" spans="1:57" thickBot="1">
      <c r="A121" s="2407" t="n"/>
      <c r="B121" s="123" t="s">
        <v>217</v>
      </c>
      <c r="C121" s="2410" t="n"/>
      <c r="D121" s="1225">
        <f>SUM(D112:D120)</f>
        <v/>
      </c>
      <c r="E121" s="1225">
        <f>SUM(E112:E120)</f>
        <v/>
      </c>
      <c r="F121" s="1225">
        <f>SUM(F112:F120)</f>
        <v/>
      </c>
      <c r="G121" s="1225">
        <f>SUM(G112:G120)</f>
        <v/>
      </c>
      <c r="H121" s="1225">
        <f>SUM(H112:H120)</f>
        <v/>
      </c>
      <c r="I121" s="1225">
        <f>SUM(I112:I120)</f>
        <v/>
      </c>
      <c r="J121" s="1225">
        <f>SUM(J112:J120)</f>
        <v/>
      </c>
      <c r="K121" s="1225">
        <f>SUM(K112:K120)</f>
        <v/>
      </c>
      <c r="L121" s="1225">
        <f>SUM(L112:L120)</f>
        <v/>
      </c>
      <c r="M121" s="1225">
        <f>SUM(M112:M120)</f>
        <v/>
      </c>
      <c r="N121" s="1225">
        <f>SUM(N112:N120)</f>
        <v/>
      </c>
      <c r="O121" s="1225">
        <f>SUM(O112:O120)</f>
        <v/>
      </c>
      <c r="P121" s="1226">
        <f>SUM(D121:O121)</f>
        <v/>
      </c>
      <c r="Q121" s="2377" t="n"/>
      <c r="R121" s="2411" t="n"/>
      <c r="S121" s="2412" t="n"/>
      <c r="T121" s="2362" t="n"/>
      <c r="U121" s="2362" t="n"/>
      <c r="V121" s="2362" t="n"/>
      <c r="W121" s="2362" t="n"/>
      <c r="X121" s="2362" t="n"/>
      <c r="Y121" s="2362" t="n"/>
      <c r="Z121" s="2362" t="n"/>
      <c r="AA121" s="2362" t="n"/>
      <c r="AB121" s="2362" t="n"/>
      <c r="AC121" s="2362" t="n"/>
      <c r="AD121" s="2362" t="n"/>
      <c r="AE121" s="2362" t="n"/>
    </row>
    <row customFormat="1" customHeight="1" ht="14.25" r="122" s="2362" spans="1:57">
      <c r="A122" s="2388" t="n"/>
      <c r="B122" s="2388" t="n"/>
      <c r="C122" s="2388" t="s">
        <v>218</v>
      </c>
      <c r="D122" s="1393">
        <f>SUM(D111,D121)</f>
        <v/>
      </c>
      <c r="E122" s="1393">
        <f>SUM(E111,E121)</f>
        <v/>
      </c>
      <c r="F122" s="1393">
        <f>SUM(F111,F121)</f>
        <v/>
      </c>
      <c r="G122" s="1393">
        <f>SUM(G111,G121)</f>
        <v/>
      </c>
      <c r="H122" s="1393">
        <f>SUM(H111,H121)</f>
        <v/>
      </c>
      <c r="I122" s="1393">
        <f>SUM(I111,I121)</f>
        <v/>
      </c>
      <c r="J122" s="1393">
        <f>SUM(J111,J121)</f>
        <v/>
      </c>
      <c r="K122" s="1393">
        <f>SUM(K111,K121)</f>
        <v/>
      </c>
      <c r="L122" s="1393">
        <f>SUM(L111,L121)</f>
        <v/>
      </c>
      <c r="M122" s="1393">
        <f>SUM(M111,M121)</f>
        <v/>
      </c>
      <c r="N122" s="1393">
        <f>SUM(N111,N121)</f>
        <v/>
      </c>
      <c r="O122" s="1393">
        <f>SUM(O111,O121)</f>
        <v/>
      </c>
      <c r="P122" s="89">
        <f>SUM(P111,P121)</f>
        <v/>
      </c>
      <c r="Q122" s="2377" t="n"/>
      <c r="R122" s="2411" t="n"/>
      <c r="S122" s="2412" t="n"/>
      <c r="T122" s="2362" t="n"/>
      <c r="U122" s="2362" t="n"/>
      <c r="V122" s="2362" t="n"/>
      <c r="W122" s="2362" t="n"/>
      <c r="X122" s="2362" t="n"/>
      <c r="Y122" s="2362" t="n"/>
      <c r="Z122" s="2362" t="n"/>
      <c r="AA122" s="2362" t="n"/>
      <c r="AB122" s="2362" t="n"/>
      <c r="AC122" s="2362" t="n"/>
      <c r="AD122" s="2362" t="n"/>
      <c r="AE122" s="2362" t="n"/>
    </row>
    <row customFormat="1" customHeight="1" ht="14.25" r="123" s="2362" spans="1:57">
      <c r="A123" s="2392" t="s">
        <v>203</v>
      </c>
      <c r="B123" s="2393" t="n"/>
      <c r="C123" s="2413" t="s">
        <v>204</v>
      </c>
      <c r="D123" s="2424" t="n">
        <v>0.25</v>
      </c>
      <c r="E123" s="2424" t="n">
        <v>0.25</v>
      </c>
      <c r="F123" s="2424" t="n">
        <v>0.25</v>
      </c>
      <c r="G123" s="2424" t="n">
        <v>0.25</v>
      </c>
      <c r="H123" s="2424" t="n">
        <v>0.25</v>
      </c>
      <c r="I123" s="2424" t="n">
        <v>0.25</v>
      </c>
      <c r="J123" s="2424" t="n">
        <v>0.25</v>
      </c>
      <c r="K123" s="2424" t="n">
        <v>0.25</v>
      </c>
      <c r="L123" s="2424" t="n">
        <v>0.25</v>
      </c>
      <c r="M123" s="2424" t="n">
        <v>0.25</v>
      </c>
      <c r="N123" s="2424" t="n">
        <v>0.25</v>
      </c>
      <c r="O123" s="2424" t="n">
        <v>0.25</v>
      </c>
      <c r="P123" s="1219">
        <f>SUM(D123:O123)</f>
        <v/>
      </c>
    </row>
    <row customFormat="1" customHeight="1" ht="14.25" r="124" s="2362" spans="1:57">
      <c r="B124" s="2395" t="n"/>
      <c r="C124" s="2399" t="s">
        <v>14</v>
      </c>
      <c r="D124" s="2425" t="n">
        <v>0.5</v>
      </c>
      <c r="E124" s="2425" t="n">
        <v>0.5</v>
      </c>
      <c r="F124" s="2425" t="n">
        <v>0.5</v>
      </c>
      <c r="G124" s="2425" t="n">
        <v>0.5</v>
      </c>
      <c r="H124" s="2425" t="n">
        <v>0.5</v>
      </c>
      <c r="I124" s="2425" t="n">
        <v>0.5</v>
      </c>
      <c r="J124" s="2425" t="n">
        <v>0.5</v>
      </c>
      <c r="K124" s="2425" t="n">
        <v>0.5</v>
      </c>
      <c r="L124" s="2425" t="n">
        <v>0.5</v>
      </c>
      <c r="M124" s="1395" t="n">
        <v>0.5</v>
      </c>
      <c r="N124" s="1395" t="n">
        <v>0.5</v>
      </c>
      <c r="O124" s="1395" t="n">
        <v>0.5</v>
      </c>
      <c r="P124" s="1219">
        <f>SUM(D124:O124)</f>
        <v/>
      </c>
    </row>
    <row customFormat="1" customHeight="1" ht="14.25" r="125" s="2362" spans="1:57">
      <c r="B125" s="2395" t="n"/>
      <c r="C125" s="2399" t="s">
        <v>15</v>
      </c>
      <c r="D125" s="1395" t="n">
        <v>0</v>
      </c>
      <c r="E125" s="1395" t="n">
        <v>0</v>
      </c>
      <c r="F125" s="1395" t="n">
        <v>0</v>
      </c>
      <c r="G125" s="1395" t="n">
        <v>0</v>
      </c>
      <c r="H125" s="1395" t="n">
        <v>0</v>
      </c>
      <c r="I125" s="1395" t="n">
        <v>0</v>
      </c>
      <c r="J125" s="1395" t="n">
        <v>0</v>
      </c>
      <c r="K125" s="1395" t="n">
        <v>0</v>
      </c>
      <c r="L125" s="1395" t="n">
        <v>0</v>
      </c>
      <c r="M125" s="1395" t="n">
        <v>0</v>
      </c>
      <c r="N125" s="1395" t="n">
        <v>0</v>
      </c>
      <c r="O125" s="1395" t="n">
        <v>0</v>
      </c>
      <c r="P125" s="1219">
        <f>SUM(D125:O125)</f>
        <v/>
      </c>
    </row>
    <row customFormat="1" customHeight="1" ht="14.25" r="126" s="2362" spans="1:57">
      <c r="B126" s="2395" t="n"/>
      <c r="C126" s="2399" t="s">
        <v>16</v>
      </c>
      <c r="D126" s="1395" t="n">
        <v>0</v>
      </c>
      <c r="E126" s="1395" t="n">
        <v>0</v>
      </c>
      <c r="F126" s="1395" t="n">
        <v>0</v>
      </c>
      <c r="G126" s="1395" t="n">
        <v>0</v>
      </c>
      <c r="H126" s="1395" t="n">
        <v>0</v>
      </c>
      <c r="I126" s="1395" t="n">
        <v>0</v>
      </c>
      <c r="J126" s="1395" t="n">
        <v>0</v>
      </c>
      <c r="K126" s="1395" t="n">
        <v>0</v>
      </c>
      <c r="L126" s="1395" t="n">
        <v>0</v>
      </c>
      <c r="M126" s="1395" t="n">
        <v>0</v>
      </c>
      <c r="N126" s="1395" t="n">
        <v>0</v>
      </c>
      <c r="O126" s="1395" t="n">
        <v>0</v>
      </c>
      <c r="P126" s="1219">
        <f>SUM(D126:O126)</f>
        <v/>
      </c>
    </row>
    <row customFormat="1" customHeight="1" ht="14.25" r="127" s="2362" spans="1:57">
      <c r="B127" s="2395" t="n"/>
      <c r="C127" s="2399" t="s">
        <v>205</v>
      </c>
      <c r="D127" s="192">
        <f>SUM(D123:D126)</f>
        <v/>
      </c>
      <c r="E127" s="192">
        <f>SUM(E123:E126)</f>
        <v/>
      </c>
      <c r="F127" s="192">
        <f>SUM(F123:F126)</f>
        <v/>
      </c>
      <c r="G127" s="192">
        <f>SUM(G123:G126)</f>
        <v/>
      </c>
      <c r="H127" s="192">
        <f>SUM(H123:H126)</f>
        <v/>
      </c>
      <c r="I127" s="192">
        <f>SUM(I123:I126)</f>
        <v/>
      </c>
      <c r="J127" s="192">
        <f>SUM(J123:J126)</f>
        <v/>
      </c>
      <c r="K127" s="192">
        <f>SUM(K123:K126)</f>
        <v/>
      </c>
      <c r="L127" s="192">
        <f>SUM(L123:L126)</f>
        <v/>
      </c>
      <c r="M127" s="192">
        <f>SUM(M123:M126)</f>
        <v/>
      </c>
      <c r="N127" s="192">
        <f>SUM(N123:N126)</f>
        <v/>
      </c>
      <c r="O127" s="192">
        <f>SUM(O123:O126)</f>
        <v/>
      </c>
      <c r="P127" s="1219">
        <f>SUM(D127:O127)</f>
        <v/>
      </c>
    </row>
    <row customFormat="1" customHeight="1" ht="14.25" r="128" s="2362" spans="1:57">
      <c r="B128" s="2395" t="n"/>
      <c r="C128" s="2399" t="s">
        <v>206</v>
      </c>
      <c r="D128" s="2426" t="n">
        <v>0.25</v>
      </c>
      <c r="E128" s="2426" t="n">
        <v>0.25</v>
      </c>
      <c r="F128" s="2426" t="n">
        <v>0.25</v>
      </c>
      <c r="G128" s="2426" t="n">
        <v>0.25</v>
      </c>
      <c r="H128" s="2426" t="n">
        <v>0.25</v>
      </c>
      <c r="I128" s="2426" t="n">
        <v>0.25</v>
      </c>
      <c r="J128" s="2426" t="n">
        <v>0.25</v>
      </c>
      <c r="K128" s="2426" t="n">
        <v>0.25</v>
      </c>
      <c r="L128" s="2426" t="n">
        <v>0.25</v>
      </c>
      <c r="M128" s="2426" t="n">
        <v>0.25</v>
      </c>
      <c r="N128" s="2426" t="n">
        <v>0.25</v>
      </c>
      <c r="O128" s="2426" t="n">
        <v>0.25</v>
      </c>
      <c r="P128" s="1219">
        <f>SUM(D128:O128)</f>
        <v/>
      </c>
      <c r="R128" s="2362" t="n"/>
    </row>
    <row customFormat="1" customHeight="1" ht="14.25" r="129" s="2362" spans="1:57">
      <c r="B129" s="2398" t="n"/>
      <c r="C129" s="2400" t="s">
        <v>207</v>
      </c>
      <c r="D129" s="1233">
        <f>D127-D128</f>
        <v/>
      </c>
      <c r="E129" s="1233">
        <f>E127-E128</f>
        <v/>
      </c>
      <c r="F129" s="1233">
        <f>F127-F128</f>
        <v/>
      </c>
      <c r="G129" s="1233">
        <f>G127-G128</f>
        <v/>
      </c>
      <c r="H129" s="1233">
        <f>H127-H128</f>
        <v/>
      </c>
      <c r="I129" s="1233">
        <f>I127-I128</f>
        <v/>
      </c>
      <c r="J129" s="1233">
        <f>J127-J128</f>
        <v/>
      </c>
      <c r="K129" s="1233">
        <f>K127-K128</f>
        <v/>
      </c>
      <c r="L129" s="1233">
        <f>L127-L128</f>
        <v/>
      </c>
      <c r="M129" s="1233">
        <f>M127-M128</f>
        <v/>
      </c>
      <c r="N129" s="1233">
        <f>N127-N128</f>
        <v/>
      </c>
      <c r="O129" s="1233">
        <f>O127-O128</f>
        <v/>
      </c>
      <c r="P129" s="1219">
        <f>SUM(D129:O129)</f>
        <v/>
      </c>
      <c r="R129" s="2362" t="n"/>
    </row>
    <row customFormat="1" customHeight="1" ht="14.25" r="130" s="2362" spans="1:57">
      <c r="A130" s="2415" t="s">
        <v>157</v>
      </c>
      <c r="B130" s="2395" t="n"/>
      <c r="C130" s="2399" t="s">
        <v>208</v>
      </c>
      <c r="D130" s="1234" t="n">
        <v>0</v>
      </c>
      <c r="E130" s="1234" t="n">
        <v>0</v>
      </c>
      <c r="F130" s="1234" t="n">
        <v>0</v>
      </c>
      <c r="G130" s="1234" t="n">
        <v>0</v>
      </c>
      <c r="H130" s="1234" t="n">
        <v>0</v>
      </c>
      <c r="I130" s="1234" t="n">
        <v>0</v>
      </c>
      <c r="J130" s="1234" t="n">
        <v>0</v>
      </c>
      <c r="K130" s="1234" t="n">
        <v>0</v>
      </c>
      <c r="L130" s="1234" t="n">
        <v>0</v>
      </c>
      <c r="M130" s="1234" t="n">
        <v>0</v>
      </c>
      <c r="N130" s="1234" t="n">
        <v>0</v>
      </c>
      <c r="O130" s="1234" t="n">
        <v>0</v>
      </c>
      <c r="P130" s="1219">
        <f>SUM(D130:O130)</f>
        <v/>
      </c>
      <c r="R130" s="2362" t="n"/>
    </row>
    <row customFormat="1" customHeight="1" ht="14.25" r="131" s="2362" spans="1:57">
      <c r="B131" s="2395" t="n"/>
      <c r="C131" s="2399" t="s">
        <v>209</v>
      </c>
      <c r="D131" s="1234">
        <f>SUMPRODUCT(('FY18 SET'!$B$4:$B67=$A$112)*('FY18 SET'!$F$4:$F67="实际OS")*('FY18 SET'!G$4:G$67))</f>
        <v/>
      </c>
      <c r="E131" s="1234">
        <f>SUMPRODUCT(('FY18 SET'!$B$4:$B67=$A$112)*('FY18 SET'!$F$4:$F67="实际OS")*('FY18 SET'!H$4:H$67))</f>
        <v/>
      </c>
      <c r="F131" s="1234">
        <f>SUMPRODUCT(('FY18 SET'!$B$4:$B67=$A$112)*('FY18 SET'!$F$4:$F67="实际OS")*('FY18 SET'!I$4:I$67))</f>
        <v/>
      </c>
      <c r="G131" s="1234">
        <f>SUMPRODUCT(('FY18 SET'!$B$4:$B67=$A$112)*('FY18 SET'!$F$4:$F67="实际OS")*('FY18 SET'!J$4:J$67))</f>
        <v/>
      </c>
      <c r="H131" s="1234">
        <f>SUMPRODUCT(('FY18 SET'!$B$4:$B67=$A$112)*('FY18 SET'!$F$4:$F67="实际OS")*('FY18 SET'!K$4:K$67))</f>
        <v/>
      </c>
      <c r="I131" s="1234">
        <f>SUMPRODUCT(('FY18 SET'!$B$4:$B67=$A$112)*('FY18 SET'!$F$4:$F67="实际OS")*('FY18 SET'!L$4:L$67))</f>
        <v/>
      </c>
      <c r="J131" s="1234">
        <f>SUMPRODUCT(('FY18 SET'!$B$4:$B67=$A$112)*('FY18 SET'!$F$4:$F67="实际OS")*('FY18 SET'!N$4:N$67))</f>
        <v/>
      </c>
      <c r="K131" s="1234">
        <f>SUMPRODUCT(('FY18 SET'!$B$4:$B67=$A$112)*('FY18 SET'!$F$4:$F67="实际OS")*('FY18 SET'!O$4:O$67))</f>
        <v/>
      </c>
      <c r="L131" s="1234">
        <f>SUMPRODUCT(('FY18 SET'!$B$4:$B67=$A$112)*('FY18 SET'!$F$4:$F67="实际OS")*('FY18 SET'!P$4:P$67))</f>
        <v/>
      </c>
      <c r="M131" s="1234">
        <f>SUMPRODUCT(('FY18 SET'!$B$4:$B67=$A$112)*('FY18 SET'!$F$4:$F67="实际OS")*('FY18 SET'!Q$4:Q$67))</f>
        <v/>
      </c>
      <c r="N131" s="1234">
        <f>SUMPRODUCT(('FY18 SET'!$B$4:$B67=$A$112)*('FY18 SET'!$F$4:$F67="实际OS")*('FY18 SET'!R$4:R$67))</f>
        <v/>
      </c>
      <c r="O131" s="1234">
        <f>SUMPRODUCT(('FY18 SET'!$B$4:$B67=$A$112)*('FY18 SET'!$F$4:$F67="实际OS")*('FY18 SET'!S$4:S$67))</f>
        <v/>
      </c>
      <c r="P131" s="1219">
        <f>SUM(D131:O131)</f>
        <v/>
      </c>
    </row>
    <row customFormat="1" customHeight="1" ht="14.25" r="132" s="2362" spans="1:57">
      <c r="B132" s="2395" t="n"/>
      <c r="C132" s="2399" t="s">
        <v>210</v>
      </c>
      <c r="D132" s="1234" t="n">
        <v>0</v>
      </c>
      <c r="E132" s="1234" t="n">
        <v>0</v>
      </c>
      <c r="F132" s="1234" t="n">
        <v>0</v>
      </c>
      <c r="G132" s="1234" t="n">
        <v>0</v>
      </c>
      <c r="H132" s="1234" t="n">
        <v>0</v>
      </c>
      <c r="I132" s="1234" t="n">
        <v>0</v>
      </c>
      <c r="J132" s="1234" t="n">
        <v>0</v>
      </c>
      <c r="K132" s="1234" t="n">
        <v>0</v>
      </c>
      <c r="L132" s="1234" t="n">
        <v>0</v>
      </c>
      <c r="M132" s="1234" t="n">
        <v>0</v>
      </c>
      <c r="N132" s="1234" t="n">
        <v>0</v>
      </c>
      <c r="O132" s="1234" t="n">
        <v>0</v>
      </c>
      <c r="P132" s="1219">
        <f>SUM(D132:O132)</f>
        <v/>
      </c>
    </row>
    <row customFormat="1" customHeight="1" ht="14.25" r="133" s="2362" spans="1:57">
      <c r="B133" s="1231" t="n"/>
      <c r="C133" s="2400" t="s">
        <v>211</v>
      </c>
      <c r="D133" s="1233">
        <f>SUM(D130:D132)</f>
        <v/>
      </c>
      <c r="E133" s="1233">
        <f>SUM(E131:E132)</f>
        <v/>
      </c>
      <c r="F133" s="1233">
        <f>SUM(F131:F132)</f>
        <v/>
      </c>
      <c r="G133" s="1233">
        <f>SUM(G131:G132)</f>
        <v/>
      </c>
      <c r="H133" s="1233">
        <f>SUM(H131:H132)</f>
        <v/>
      </c>
      <c r="I133" s="1233">
        <f>SUM(I131:I132)</f>
        <v/>
      </c>
      <c r="J133" s="1233">
        <f>SUM(J131:J132)</f>
        <v/>
      </c>
      <c r="K133" s="1233">
        <f>SUM(K131:K132)</f>
        <v/>
      </c>
      <c r="L133" s="1233">
        <f>SUM(L131:L132)</f>
        <v/>
      </c>
      <c r="M133" s="1233">
        <f>SUM(M131:M132)</f>
        <v/>
      </c>
      <c r="N133" s="1233">
        <f>SUM(N131:N132)</f>
        <v/>
      </c>
      <c r="O133" s="1233">
        <f>SUM(O131:O132)</f>
        <v/>
      </c>
      <c r="P133" s="1219">
        <f>SUM(D133:O133)</f>
        <v/>
      </c>
    </row>
    <row customFormat="1" customHeight="1" ht="14.25" r="134" s="2362" spans="1:57">
      <c r="A134" s="2416" t="s">
        <v>219</v>
      </c>
      <c r="B134" s="2417" t="n"/>
      <c r="C134" s="2418" t="s">
        <v>220</v>
      </c>
      <c r="D134" s="1278">
        <f>SUM(D128,D130)</f>
        <v/>
      </c>
      <c r="E134" s="1278">
        <f>SUM(E128,E130)</f>
        <v/>
      </c>
      <c r="F134" s="1278">
        <f>SUM(F128,F130)</f>
        <v/>
      </c>
      <c r="G134" s="1278">
        <f>SUM(G128,G130)</f>
        <v/>
      </c>
      <c r="H134" s="1278">
        <f>SUM(H128,H130)</f>
        <v/>
      </c>
      <c r="I134" s="1278">
        <f>SUM(I128,I130)</f>
        <v/>
      </c>
      <c r="J134" s="1278">
        <f>SUM(J128,J130)</f>
        <v/>
      </c>
      <c r="K134" s="1278">
        <f>SUM(K128,K130)</f>
        <v/>
      </c>
      <c r="L134" s="1278">
        <f>SUM(L128,L130)</f>
        <v/>
      </c>
      <c r="M134" s="1278">
        <f>SUM(M128,M130)</f>
        <v/>
      </c>
      <c r="N134" s="1278">
        <f>SUM(N128,N130)</f>
        <v/>
      </c>
      <c r="O134" s="1278">
        <f>SUM(O128,O130)</f>
        <v/>
      </c>
      <c r="P134" s="1219">
        <f>SUM(D134:O134)</f>
        <v/>
      </c>
      <c r="Q134" s="2362" t="n"/>
      <c r="R134" s="2362" t="n"/>
      <c r="S134" s="2362" t="n"/>
      <c r="T134" s="2362" t="n"/>
      <c r="U134" s="2362" t="n"/>
      <c r="V134" s="2362" t="n"/>
      <c r="W134" s="2362" t="n"/>
      <c r="X134" s="2362" t="n"/>
      <c r="Y134" s="2362" t="n"/>
      <c r="Z134" s="2362" t="n"/>
      <c r="AA134" s="2362" t="n"/>
      <c r="AB134" s="2362" t="n"/>
      <c r="AC134" s="2362" t="n"/>
      <c r="AD134" s="2362" t="n"/>
      <c r="AE134" s="2362" t="n"/>
    </row>
    <row customFormat="1" customHeight="1" ht="14.25" r="135" s="2362" spans="1:57">
      <c r="B135" s="2419" t="n"/>
      <c r="C135" s="2420" t="s">
        <v>221</v>
      </c>
      <c r="D135" s="1279">
        <f>SUM(D129,D131)</f>
        <v/>
      </c>
      <c r="E135" s="1279">
        <f>SUM(E129,E131)</f>
        <v/>
      </c>
      <c r="F135" s="1279">
        <f>SUM(F129,F131)</f>
        <v/>
      </c>
      <c r="G135" s="1279">
        <f>SUM(G129,G131)</f>
        <v/>
      </c>
      <c r="H135" s="1279">
        <f>SUM(H129,H131)</f>
        <v/>
      </c>
      <c r="I135" s="1279">
        <f>SUM(I129,I131)</f>
        <v/>
      </c>
      <c r="J135" s="1279">
        <f>SUM(J129,J131)</f>
        <v/>
      </c>
      <c r="K135" s="1279">
        <f>SUM(K129,K131)</f>
        <v/>
      </c>
      <c r="L135" s="1279">
        <f>SUM(L129,L131)</f>
        <v/>
      </c>
      <c r="M135" s="1279">
        <f>SUM(M129,M131)</f>
        <v/>
      </c>
      <c r="N135" s="1279">
        <f>SUM(N129,N131)</f>
        <v/>
      </c>
      <c r="O135" s="1279">
        <f>SUM(O129,O131)</f>
        <v/>
      </c>
      <c r="P135" s="1219">
        <f>SUM(D135:O135)</f>
        <v/>
      </c>
      <c r="Q135" s="2362" t="n"/>
      <c r="R135" s="2362" t="n"/>
      <c r="S135" s="2362" t="n"/>
      <c r="T135" s="2362" t="n"/>
      <c r="U135" s="2362" t="n"/>
      <c r="V135" s="2362" t="n"/>
      <c r="W135" s="2362" t="n"/>
      <c r="X135" s="2362" t="n"/>
      <c r="Y135" s="2362" t="n"/>
      <c r="Z135" s="2362" t="n"/>
      <c r="AA135" s="2362" t="n"/>
      <c r="AB135" s="2362" t="n"/>
      <c r="AC135" s="2362" t="n"/>
      <c r="AD135" s="2362" t="n"/>
      <c r="AE135" s="2362" t="n"/>
    </row>
    <row customFormat="1" customHeight="1" ht="14.25" r="136" s="2362" spans="1:57">
      <c r="B136" s="1274" t="n"/>
      <c r="C136" s="2421" t="s">
        <v>222</v>
      </c>
      <c r="D136" s="1280">
        <f>SUM(D134:D135)</f>
        <v/>
      </c>
      <c r="E136" s="1276">
        <f>SUM(E134:E135)</f>
        <v/>
      </c>
      <c r="F136" s="1276">
        <f>SUM(F134:F135)</f>
        <v/>
      </c>
      <c r="G136" s="1276">
        <f>SUM(G134:G135)</f>
        <v/>
      </c>
      <c r="H136" s="1276">
        <f>SUM(H134:H135)</f>
        <v/>
      </c>
      <c r="I136" s="1276">
        <f>SUM(I134:I135)</f>
        <v/>
      </c>
      <c r="J136" s="1276">
        <f>SUM(J134:J135)</f>
        <v/>
      </c>
      <c r="K136" s="1276">
        <f>SUM(K134:K135)</f>
        <v/>
      </c>
      <c r="L136" s="1276">
        <f>SUM(L134:L135)</f>
        <v/>
      </c>
      <c r="M136" s="1276">
        <f>SUM(M134:M135)</f>
        <v/>
      </c>
      <c r="N136" s="1276">
        <f>SUM(N134:N135)</f>
        <v/>
      </c>
      <c r="O136" s="1277">
        <f>SUM(O134:O135)</f>
        <v/>
      </c>
      <c r="P136" s="1219">
        <f>SUM(D136:O136)</f>
        <v/>
      </c>
      <c r="Q136" s="2362" t="n"/>
      <c r="R136" s="2362" t="n"/>
      <c r="S136" s="2362" t="n"/>
      <c r="T136" s="2362" t="n"/>
      <c r="U136" s="2362" t="n"/>
      <c r="V136" s="2362" t="n"/>
      <c r="W136" s="2362" t="n"/>
      <c r="X136" s="2362" t="n"/>
      <c r="Y136" s="2362" t="n"/>
      <c r="Z136" s="2362" t="n"/>
      <c r="AA136" s="2362" t="n"/>
      <c r="AB136" s="2362" t="n"/>
      <c r="AC136" s="2362" t="n"/>
      <c r="AD136" s="2362" t="n"/>
      <c r="AE136" s="2362" t="n"/>
    </row>
    <row customFormat="1" customHeight="1" ht="14.25" r="137" s="2362" spans="1:57">
      <c r="A137" s="2422" t="n"/>
      <c r="B137" s="2395" t="n"/>
      <c r="C137" s="2420" t="n"/>
      <c r="D137" s="1200" t="n"/>
      <c r="E137" s="1200" t="n"/>
      <c r="F137" s="1200" t="n"/>
      <c r="G137" s="1200" t="n"/>
      <c r="H137" s="1200" t="n"/>
      <c r="I137" s="1200" t="n"/>
      <c r="J137" s="1200" t="n"/>
      <c r="K137" s="1200" t="n"/>
      <c r="L137" s="1200" t="n"/>
      <c r="M137" s="1200" t="n"/>
      <c r="N137" s="1200" t="n"/>
      <c r="O137" s="1200" t="n"/>
      <c r="P137" s="2422" t="n"/>
      <c r="Q137" s="2362" t="n"/>
      <c r="R137" s="2362" t="n"/>
      <c r="S137" s="2362" t="n"/>
      <c r="T137" s="2362" t="n"/>
      <c r="U137" s="2362" t="n"/>
      <c r="V137" s="2362" t="n"/>
      <c r="W137" s="2362" t="n"/>
      <c r="X137" s="2362" t="n"/>
      <c r="Y137" s="2362" t="n"/>
      <c r="Z137" s="2362" t="n"/>
      <c r="AA137" s="2362" t="n"/>
      <c r="AB137" s="2362" t="n"/>
      <c r="AC137" s="2362" t="n"/>
      <c r="AD137" s="2362" t="n"/>
      <c r="AE137" s="2362" t="n"/>
    </row>
    <row customFormat="1" customHeight="1" ht="15.75" r="138" s="2362" spans="1:57">
      <c r="A138" s="2370" t="n"/>
      <c r="B138" s="80" t="n"/>
      <c r="C138" s="2371" t="n"/>
      <c r="D138" s="2372" t="n">
        <v>43191</v>
      </c>
      <c r="E138" s="2372" t="n">
        <v>43221</v>
      </c>
      <c r="F138" s="2372" t="n">
        <v>43252</v>
      </c>
      <c r="G138" s="2372" t="n">
        <v>43282</v>
      </c>
      <c r="H138" s="2372" t="n">
        <v>43313</v>
      </c>
      <c r="I138" s="2372" t="n">
        <v>43344</v>
      </c>
      <c r="J138" s="2372" t="n">
        <v>43374</v>
      </c>
      <c r="K138" s="2372" t="n">
        <v>43405</v>
      </c>
      <c r="L138" s="2372" t="n">
        <v>43435</v>
      </c>
      <c r="M138" s="2372" t="n">
        <v>43466</v>
      </c>
      <c r="N138" s="2372" t="n">
        <v>43497</v>
      </c>
      <c r="O138" s="2372" t="n">
        <v>43525</v>
      </c>
      <c r="P138" s="2373" t="s">
        <v>55</v>
      </c>
      <c r="Q138" s="2362" t="n"/>
      <c r="R138" s="2374" t="n"/>
      <c r="T138" s="2362" t="n"/>
      <c r="U138" s="2362" t="n"/>
      <c r="V138" s="2362" t="n"/>
      <c r="W138" s="2362" t="n"/>
      <c r="X138" s="2362" t="n"/>
      <c r="Y138" s="2362" t="n"/>
      <c r="Z138" s="2362" t="n"/>
      <c r="AA138" s="2362" t="n"/>
      <c r="AB138" s="2362" t="n"/>
      <c r="AC138" s="2362" t="n"/>
      <c r="AD138" s="2362" t="n"/>
      <c r="AE138" s="2362" t="n"/>
    </row>
    <row customFormat="1" customHeight="1" ht="15.75" r="139" s="2362" spans="1:57">
      <c r="A139" s="2375" t="n"/>
      <c r="B139" s="64" t="n"/>
      <c r="C139" s="2376" t="s">
        <v>187</v>
      </c>
      <c r="D139" s="1381">
        <f>D158*D642+D159*D643+D160*D644+D161*D645</f>
        <v/>
      </c>
      <c r="E139" s="1381">
        <f>E158*E642+E159*E643+E160*E644+E161*E645</f>
        <v/>
      </c>
      <c r="F139" s="1381">
        <f>F158*F642+F159*F643+F160*F644+F161*F645</f>
        <v/>
      </c>
      <c r="G139" s="1381">
        <f>G158*G642+G159*G643+G160*G644+G161*G645</f>
        <v/>
      </c>
      <c r="H139" s="1381">
        <f>H158*H642+H159*H643+H160*H644+H161*H645</f>
        <v/>
      </c>
      <c r="I139" s="1381">
        <f>I158*I642+I159*I643+I160*I644+I161*I645</f>
        <v/>
      </c>
      <c r="J139" s="1381">
        <f>J158*J642+J159*J643+J160*J644+J161*J645</f>
        <v/>
      </c>
      <c r="K139" s="1381">
        <f>K158*K642+K159*K643+K160*K644+K161*K645</f>
        <v/>
      </c>
      <c r="L139" s="1381">
        <f>L158*L642+L159*L643+L160*L644+L161*L645</f>
        <v/>
      </c>
      <c r="M139" s="1381">
        <f>M158*M642+M159*M643+M160*M644+M161*M645</f>
        <v/>
      </c>
      <c r="N139" s="1381">
        <f>N158*N642+N159*N643+N160*N644+N161*N645</f>
        <v/>
      </c>
      <c r="O139" s="1381">
        <f>O158*O642+O159*O643+O160*O644+O161*O645</f>
        <v/>
      </c>
      <c r="P139" s="1178">
        <f>SUM(D139:O139)</f>
        <v/>
      </c>
      <c r="Q139" s="2377" t="n"/>
      <c r="R139" s="2377" t="n"/>
      <c r="S139" s="2402" t="n"/>
      <c r="T139" s="2362" t="n"/>
      <c r="U139" s="2362" t="n"/>
      <c r="V139" s="2362" t="n"/>
      <c r="W139" s="2362" t="n"/>
      <c r="X139" s="2362" t="n"/>
      <c r="Y139" s="2362" t="n"/>
      <c r="Z139" s="2362" t="n"/>
      <c r="AA139" s="2362" t="n"/>
      <c r="AB139" s="2362" t="n"/>
      <c r="AC139" s="2362" t="n"/>
      <c r="AD139" s="2362" t="n"/>
      <c r="AE139" s="2362" t="n"/>
    </row>
    <row customFormat="1" customHeight="1" ht="15.75" r="140" s="2362" spans="1:57">
      <c r="A140" s="2403" t="n">
        <v>12277</v>
      </c>
      <c r="B140" s="66" t="n"/>
      <c r="C140" s="2379" t="s">
        <v>189</v>
      </c>
      <c r="D140" s="1380">
        <f>D35*D$162/D$57</f>
        <v/>
      </c>
      <c r="E140" s="1380">
        <f>E35*E$162/E$57</f>
        <v/>
      </c>
      <c r="F140" s="1380">
        <f>F35*F$162/F$57</f>
        <v/>
      </c>
      <c r="G140" s="1380">
        <f>G35*G$162/G$57</f>
        <v/>
      </c>
      <c r="H140" s="1380">
        <f>H35*H$162/H$57</f>
        <v/>
      </c>
      <c r="I140" s="1380">
        <f>I35*I$162/I$57</f>
        <v/>
      </c>
      <c r="J140" s="1380">
        <f>J35*J$162/J$57</f>
        <v/>
      </c>
      <c r="K140" s="1380">
        <f>K35*K$162/K$57</f>
        <v/>
      </c>
      <c r="L140" s="1380">
        <f>L35*L$162/L$57</f>
        <v/>
      </c>
      <c r="M140" s="1380">
        <f>M35*M$162/M$57</f>
        <v/>
      </c>
      <c r="N140" s="1380">
        <f>N35*N$162/N$57</f>
        <v/>
      </c>
      <c r="O140" s="1380">
        <f>O35*O$162/O$57</f>
        <v/>
      </c>
      <c r="P140" s="1179">
        <f>SUM(D140:O140)</f>
        <v/>
      </c>
      <c r="Q140" s="2377" t="n"/>
      <c r="R140" s="2377" t="n"/>
      <c r="S140" s="2402" t="n"/>
      <c r="T140" s="2362" t="n"/>
      <c r="U140" s="2362" t="n"/>
      <c r="V140" s="2362" t="n"/>
      <c r="W140" s="2362" t="n"/>
      <c r="X140" s="2362" t="n"/>
      <c r="Y140" s="2362" t="n"/>
      <c r="Z140" s="2362" t="n"/>
      <c r="AA140" s="2362" t="n"/>
      <c r="AB140" s="2362" t="n"/>
      <c r="AC140" s="2362" t="n"/>
      <c r="AD140" s="2362" t="n"/>
      <c r="AE140" s="2362" t="n"/>
    </row>
    <row customFormat="1" customHeight="1" ht="15.75" r="141" s="2362" spans="1:57">
      <c r="A141" s="2403" t="s">
        <v>94</v>
      </c>
      <c r="B141" s="66" t="n"/>
      <c r="C141" s="2379" t="s">
        <v>212</v>
      </c>
      <c r="D141" s="1376">
        <f>D36/2</f>
        <v/>
      </c>
      <c r="E141" s="1376">
        <f>E36/2</f>
        <v/>
      </c>
      <c r="F141" s="1376">
        <f>F36/2</f>
        <v/>
      </c>
      <c r="G141" s="1376">
        <f>G36/2</f>
        <v/>
      </c>
      <c r="H141" s="1376">
        <f>H36/2</f>
        <v/>
      </c>
      <c r="I141" s="1376">
        <f>I36/2</f>
        <v/>
      </c>
      <c r="J141" s="1376">
        <f>J36/2</f>
        <v/>
      </c>
      <c r="K141" s="1376">
        <f>K36/2</f>
        <v/>
      </c>
      <c r="L141" s="1376">
        <f>L36/2</f>
        <v/>
      </c>
      <c r="M141" s="1376">
        <f>M36/2</f>
        <v/>
      </c>
      <c r="N141" s="1376">
        <f>N36/2</f>
        <v/>
      </c>
      <c r="O141" s="1376">
        <f>O36/2</f>
        <v/>
      </c>
      <c r="P141" s="1179">
        <f>SUM(D141:O141)</f>
        <v/>
      </c>
      <c r="Q141" s="2377" t="n"/>
      <c r="R141" s="2377" t="n"/>
      <c r="S141" s="2402" t="n"/>
      <c r="T141" s="2362" t="n"/>
      <c r="U141" s="2362" t="n"/>
      <c r="V141" s="2362" t="n"/>
      <c r="W141" s="2362" t="n"/>
      <c r="X141" s="2362" t="n"/>
      <c r="Y141" s="2362" t="n"/>
      <c r="Z141" s="2362" t="n"/>
      <c r="AA141" s="2362" t="n"/>
      <c r="AB141" s="2362" t="n"/>
      <c r="AC141" s="2362" t="n"/>
      <c r="AD141" s="2362" t="n"/>
      <c r="AE141" s="2362" t="n"/>
    </row>
    <row customFormat="1" customHeight="1" ht="14.25" r="142" s="2362" spans="1:57">
      <c r="A142" s="2381" t="n"/>
      <c r="B142" s="66" t="n"/>
      <c r="C142" s="2379" t="s">
        <v>191</v>
      </c>
      <c r="D142" s="1380">
        <f>D37*D$162/D$57</f>
        <v/>
      </c>
      <c r="E142" s="1380">
        <f>E37*E$162/E$57</f>
        <v/>
      </c>
      <c r="F142" s="1380">
        <f>F37*F$162/F$57</f>
        <v/>
      </c>
      <c r="G142" s="1380">
        <f>G37*G$162/G$57</f>
        <v/>
      </c>
      <c r="H142" s="1380">
        <f>H37*H$162/H$57</f>
        <v/>
      </c>
      <c r="I142" s="1380">
        <f>I37*I$162/I$57</f>
        <v/>
      </c>
      <c r="J142" s="1380">
        <f>J37*J$162/J$57</f>
        <v/>
      </c>
      <c r="K142" s="1380">
        <f>K37*K$162/K$57</f>
        <v/>
      </c>
      <c r="L142" s="1380">
        <f>L37*L$162/L$57</f>
        <v/>
      </c>
      <c r="M142" s="1380">
        <f>M37*M$162/M$57</f>
        <v/>
      </c>
      <c r="N142" s="1380">
        <f>N37*N$162/N$57</f>
        <v/>
      </c>
      <c r="O142" s="1380">
        <f>O37*O$162/O$57</f>
        <v/>
      </c>
      <c r="P142" s="1179">
        <f>SUM(D142:O142)</f>
        <v/>
      </c>
      <c r="Q142" s="2377" t="n"/>
      <c r="R142" s="2377" t="n"/>
      <c r="S142" s="2402" t="n"/>
      <c r="T142" s="2362" t="n"/>
      <c r="U142" s="2362" t="n"/>
      <c r="V142" s="2362" t="n"/>
      <c r="W142" s="2362" t="n"/>
      <c r="X142" s="2362" t="n"/>
      <c r="Y142" s="2362" t="n"/>
      <c r="Z142" s="2362" t="n"/>
      <c r="AA142" s="2362" t="n"/>
      <c r="AB142" s="2362" t="n"/>
      <c r="AC142" s="2362" t="n"/>
      <c r="AD142" s="2362" t="n"/>
      <c r="AE142" s="2362" t="n"/>
    </row>
    <row customFormat="1" customHeight="1" ht="15.75" r="143" s="2362" spans="1:57">
      <c r="A143" s="2375" t="s">
        <v>82</v>
      </c>
      <c r="B143" s="66" t="n"/>
      <c r="C143" s="2379" t="s">
        <v>192</v>
      </c>
      <c r="D143" s="1380">
        <f>D38*D$162/D$57</f>
        <v/>
      </c>
      <c r="E143" s="1380">
        <f>E38*E$162/E$57</f>
        <v/>
      </c>
      <c r="F143" s="1380">
        <f>F38*F$162/F$57</f>
        <v/>
      </c>
      <c r="G143" s="1380">
        <f>G38*G$162/G$57</f>
        <v/>
      </c>
      <c r="H143" s="1380">
        <f>H38*H$162/H$57</f>
        <v/>
      </c>
      <c r="I143" s="1380">
        <f>I38*I$162/I$57</f>
        <v/>
      </c>
      <c r="J143" s="1380">
        <f>J38*J$162/J$57</f>
        <v/>
      </c>
      <c r="K143" s="1380">
        <f>K38*K$162/K$57</f>
        <v/>
      </c>
      <c r="L143" s="1380">
        <f>L38*L$162/L$57</f>
        <v/>
      </c>
      <c r="M143" s="1380">
        <f>M38*M$162/M$57</f>
        <v/>
      </c>
      <c r="N143" s="1380">
        <f>N38*N$162/N$57</f>
        <v/>
      </c>
      <c r="O143" s="1380">
        <f>O38*O$162/O$57</f>
        <v/>
      </c>
      <c r="P143" s="1179">
        <f>SUM(D143:O143)</f>
        <v/>
      </c>
      <c r="Q143" s="2377" t="n"/>
      <c r="R143" s="2377" t="n"/>
      <c r="S143" s="2402" t="n"/>
      <c r="T143" s="2362" t="n"/>
      <c r="U143" s="2362" t="n"/>
      <c r="V143" s="2362" t="n"/>
      <c r="W143" s="2362" t="n"/>
      <c r="X143" s="2362" t="n"/>
      <c r="Y143" s="2362" t="n"/>
      <c r="Z143" s="2362" t="n"/>
      <c r="AA143" s="2362" t="n"/>
      <c r="AB143" s="2362" t="n"/>
      <c r="AC143" s="2362" t="n"/>
      <c r="AD143" s="2362" t="n"/>
      <c r="AE143" s="2362" t="n"/>
    </row>
    <row customFormat="1" customHeight="1" ht="14.25" r="144" s="2362" spans="1:57">
      <c r="A144" s="2427" t="s">
        <v>90</v>
      </c>
      <c r="B144" s="66" t="n"/>
      <c r="C144" s="2379" t="s">
        <v>213</v>
      </c>
      <c r="D144" s="1497">
        <f>D39*D$162/D$57</f>
        <v/>
      </c>
      <c r="E144" s="1497">
        <f>E39*E$162/E$57</f>
        <v/>
      </c>
      <c r="F144" s="1497">
        <f>F39*F$162/F$57</f>
        <v/>
      </c>
      <c r="G144" s="1497">
        <f>G39*G$162/G$57</f>
        <v/>
      </c>
      <c r="H144" s="1497">
        <f>H39*H$162/H$57</f>
        <v/>
      </c>
      <c r="I144" s="1497">
        <f>I39*I$162/I$57</f>
        <v/>
      </c>
      <c r="J144" s="1497">
        <f>J39*J$162/J$57</f>
        <v/>
      </c>
      <c r="K144" s="1497">
        <f>K39*K$162/K$57</f>
        <v/>
      </c>
      <c r="L144" s="1497">
        <f>L39*L$162/L$57</f>
        <v/>
      </c>
      <c r="M144" s="1497">
        <f>M39*M$162/M$57</f>
        <v/>
      </c>
      <c r="N144" s="1497">
        <f>N39*N$162/N$57</f>
        <v/>
      </c>
      <c r="O144" s="1497">
        <f>O39*O$162/O$57</f>
        <v/>
      </c>
      <c r="P144" s="1180">
        <f>SUM(D144:O144)</f>
        <v/>
      </c>
      <c r="Q144" s="2377" t="n"/>
      <c r="R144" s="2377" t="n"/>
      <c r="S144" s="2402" t="n"/>
      <c r="T144" s="2362" t="n"/>
      <c r="U144" s="2362" t="n"/>
      <c r="V144" s="2362" t="n"/>
      <c r="W144" s="2362" t="n"/>
      <c r="X144" s="2362" t="n"/>
      <c r="Y144" s="2362" t="n"/>
      <c r="Z144" s="2362" t="n"/>
      <c r="AA144" s="2362" t="n"/>
      <c r="AB144" s="2362" t="n"/>
      <c r="AC144" s="2362" t="n"/>
      <c r="AD144" s="2362" t="n"/>
      <c r="AE144" s="2362" t="n"/>
    </row>
    <row customFormat="1" customHeight="1" ht="14.25" r="145" s="2362" spans="1:57">
      <c r="A145" s="2381" t="n"/>
      <c r="B145" s="123" t="n"/>
      <c r="C145" s="2405" t="s">
        <v>195</v>
      </c>
      <c r="D145" s="1175">
        <f>D40*D$162/D$57</f>
        <v/>
      </c>
      <c r="E145" s="1175">
        <f>E40*E$162/E$57</f>
        <v/>
      </c>
      <c r="F145" s="1175">
        <f>F40*F$162/F$57</f>
        <v/>
      </c>
      <c r="G145" s="1175">
        <f>G40*G$162/G$57</f>
        <v/>
      </c>
      <c r="H145" s="1175">
        <f>H40*H$162/H$57</f>
        <v/>
      </c>
      <c r="I145" s="1175">
        <f>I40*I$162/I$57</f>
        <v/>
      </c>
      <c r="J145" s="1175">
        <f>J40*J$162/J$57</f>
        <v/>
      </c>
      <c r="K145" s="1175">
        <f>K40*K$162/K$57</f>
        <v/>
      </c>
      <c r="L145" s="1175">
        <f>L40*L$162/L$57</f>
        <v/>
      </c>
      <c r="M145" s="1175">
        <f>M40*M$162/M$57</f>
        <v/>
      </c>
      <c r="N145" s="1175">
        <f>N40*N$162/N$57</f>
        <v/>
      </c>
      <c r="O145" s="1175">
        <f>O40*O$162/O$57</f>
        <v/>
      </c>
      <c r="P145" s="1176">
        <f>SUM(D145:O145)</f>
        <v/>
      </c>
      <c r="Q145" s="2377" t="n"/>
      <c r="R145" s="2377" t="n"/>
      <c r="S145" s="2402" t="n"/>
      <c r="T145" s="2362" t="n"/>
      <c r="U145" s="2362" t="n"/>
      <c r="V145" s="2362" t="n"/>
      <c r="W145" s="2362" t="n"/>
      <c r="X145" s="2362" t="n"/>
      <c r="Y145" s="2362" t="n"/>
      <c r="Z145" s="2362" t="n"/>
      <c r="AA145" s="2362" t="n"/>
      <c r="AB145" s="2362" t="n"/>
      <c r="AC145" s="2362" t="n"/>
      <c r="AD145" s="2362" t="n"/>
      <c r="AE145" s="2362" t="n"/>
    </row>
    <row customFormat="1" customHeight="1" ht="14.25" r="146" s="2362" spans="1:57">
      <c r="A146" s="2381" t="n"/>
      <c r="B146" s="70" t="s">
        <v>214</v>
      </c>
      <c r="C146" s="2406" t="n"/>
      <c r="D146" s="1062">
        <f>SUM(D139:D145)</f>
        <v/>
      </c>
      <c r="E146" s="1062">
        <f>SUM(E139:E145)</f>
        <v/>
      </c>
      <c r="F146" s="73">
        <f>SUM(F139:F145)</f>
        <v/>
      </c>
      <c r="G146" s="73">
        <f>SUM(G139:G145)</f>
        <v/>
      </c>
      <c r="H146" s="73">
        <f>SUM(H139:H145)</f>
        <v/>
      </c>
      <c r="I146" s="73">
        <f>SUM(I139:I145)</f>
        <v/>
      </c>
      <c r="J146" s="73">
        <f>SUM(J139:J145)</f>
        <v/>
      </c>
      <c r="K146" s="73">
        <f>SUM(K139:K145)</f>
        <v/>
      </c>
      <c r="L146" s="73">
        <f>SUM(L139:L145)</f>
        <v/>
      </c>
      <c r="M146" s="73">
        <f>SUM(M139:M145)</f>
        <v/>
      </c>
      <c r="N146" s="73">
        <f>SUM(N139:N145)</f>
        <v/>
      </c>
      <c r="O146" s="73">
        <f>SUM(O139:O145)</f>
        <v/>
      </c>
      <c r="P146" s="76">
        <f>SUM(D146:O146)</f>
        <v/>
      </c>
      <c r="R146" s="2362" t="n"/>
      <c r="S146" s="2362" t="n"/>
      <c r="T146" s="2362" t="n"/>
      <c r="U146" s="2362" t="n"/>
      <c r="V146" s="2362" t="n"/>
      <c r="W146" s="2362" t="n"/>
      <c r="X146" s="2362" t="n"/>
      <c r="Y146" s="2362" t="n"/>
      <c r="Z146" s="2362" t="n"/>
      <c r="AA146" s="2362" t="n"/>
      <c r="AB146" s="2362" t="n"/>
      <c r="AC146" s="2362" t="n"/>
      <c r="AD146" s="2362" t="n"/>
      <c r="AE146" s="2362" t="n"/>
    </row>
    <row customFormat="1" customHeight="1" ht="14.25" r="147" s="2362" spans="1:57">
      <c r="A147" s="2381" t="n"/>
      <c r="B147" s="66" t="n"/>
      <c r="C147" s="2385" t="s">
        <v>161</v>
      </c>
      <c r="D147" s="87">
        <f>D42*SUM(D$162,D$165:D$166)/SUM(D$57,D$60:D$61)</f>
        <v/>
      </c>
      <c r="E147" s="87">
        <f>E42*SUM(E$162,E$165:E$166)/SUM(E$57,E$60:E$61)</f>
        <v/>
      </c>
      <c r="F147" s="87">
        <f>F42*SUM(F$162,F$165:F$166)/SUM(F$57,F$60:F$61)</f>
        <v/>
      </c>
      <c r="G147" s="87">
        <f>G42*SUM(G$162,G$165:G$166)/SUM(G$57,G$60:G$61)</f>
        <v/>
      </c>
      <c r="H147" s="87">
        <f>H42*SUM(H$162,H$165:H$166)/SUM(H$57,H$60:H$61)</f>
        <v/>
      </c>
      <c r="I147" s="87">
        <f>I42*SUM(I$162,I$165:I$166)/SUM(I$57,I$60:I$61)</f>
        <v/>
      </c>
      <c r="J147" s="87">
        <f>J42*SUM(J$162,J$165:J$166)/SUM(J$57,J$60:J$61)</f>
        <v/>
      </c>
      <c r="K147" s="87">
        <f>K42*SUM(K$162,K$165:K$166)/SUM(K$57,K$60:K$61)</f>
        <v/>
      </c>
      <c r="L147" s="87">
        <f>L42*SUM(L$162,L$165:L$166)/SUM(L$57,L$60:L$61)</f>
        <v/>
      </c>
      <c r="M147" s="87">
        <f>M42*SUM(M$162,M$165:M$166)/SUM(M$57,M$60:M$61)</f>
        <v/>
      </c>
      <c r="N147" s="87">
        <f>N42*SUM(N$162,N$165:N$166)/SUM(N$57,N$60:N$61)</f>
        <v/>
      </c>
      <c r="O147" s="87">
        <f>O42*SUM(O$162,O$165:O$166)/SUM(O$57,O$60:O$61)</f>
        <v/>
      </c>
      <c r="P147" s="85">
        <f>SUM(D147:O147)</f>
        <v/>
      </c>
      <c r="Q147" s="2377" t="n"/>
      <c r="R147" s="2377" t="n"/>
      <c r="S147" s="2402" t="n"/>
      <c r="T147" s="2362" t="n"/>
      <c r="U147" s="2362" t="n"/>
      <c r="V147" s="2362" t="n"/>
      <c r="W147" s="2362" t="n"/>
      <c r="X147" s="2362" t="n"/>
      <c r="Y147" s="2362" t="n"/>
      <c r="Z147" s="2362" t="n"/>
      <c r="AA147" s="2362" t="n"/>
      <c r="AB147" s="2362" t="n"/>
      <c r="AC147" s="2362" t="n"/>
      <c r="AD147" s="2362" t="n"/>
      <c r="AE147" s="2362" t="n"/>
    </row>
    <row customFormat="1" customHeight="1" ht="14.25" r="148" s="2362" spans="1:57">
      <c r="A148" s="2427" t="n"/>
      <c r="B148" s="123" t="n"/>
      <c r="C148" s="2385" t="s">
        <v>215</v>
      </c>
      <c r="D148" s="87">
        <f>D43*SUM(D$162)/SUM(D$57)</f>
        <v/>
      </c>
      <c r="E148" s="87">
        <f>E43*SUM(E$162)/SUM(E$57)</f>
        <v/>
      </c>
      <c r="F148" s="87">
        <f>F43*SUM(F$162)/SUM(F$57)</f>
        <v/>
      </c>
      <c r="G148" s="87">
        <f>G43*SUM(G$162)/SUM(G$57)</f>
        <v/>
      </c>
      <c r="H148" s="87">
        <f>H43*SUM(H$162)/SUM(H$57)</f>
        <v/>
      </c>
      <c r="I148" s="87">
        <f>I43*SUM(I$162)/SUM(I$57)</f>
        <v/>
      </c>
      <c r="J148" s="87">
        <f>J43*SUM(J$162)/SUM(J$57)</f>
        <v/>
      </c>
      <c r="K148" s="87">
        <f>K43*SUM(K$162)/SUM(K$57)</f>
        <v/>
      </c>
      <c r="L148" s="87">
        <f>L43*SUM(L$162)/SUM(L$57)</f>
        <v/>
      </c>
      <c r="M148" s="87">
        <f>M43*SUM(M$162)/SUM(M$57)</f>
        <v/>
      </c>
      <c r="N148" s="87">
        <f>N43*SUM(N$162)/SUM(N$57)</f>
        <v/>
      </c>
      <c r="O148" s="87">
        <f>O43*SUM(O$162)/SUM(O$57)</f>
        <v/>
      </c>
      <c r="P148" s="85">
        <f>SUM(D148:O148)</f>
        <v/>
      </c>
      <c r="Q148" s="2377" t="n"/>
      <c r="R148" s="2377" t="n"/>
      <c r="S148" s="2402" t="n"/>
      <c r="T148" s="2362" t="n"/>
      <c r="U148" s="2362" t="n"/>
      <c r="V148" s="2362" t="n"/>
      <c r="W148" s="2362" t="n"/>
      <c r="X148" s="2362" t="n"/>
      <c r="Y148" s="2362" t="n"/>
      <c r="Z148" s="2362" t="n"/>
      <c r="AA148" s="2362" t="n"/>
      <c r="AB148" s="2362" t="n"/>
      <c r="AC148" s="2362" t="n"/>
      <c r="AD148" s="2362" t="n"/>
      <c r="AE148" s="2362" t="n"/>
    </row>
    <row customFormat="1" customHeight="1" ht="14.25" r="149" s="2362" spans="1:57">
      <c r="A149" s="2407" t="n"/>
      <c r="B149" s="1171" t="n"/>
      <c r="C149" s="2386" t="s">
        <v>197</v>
      </c>
      <c r="D149" s="87">
        <f>D44*SUM(D$169)/SUM(D$64)</f>
        <v/>
      </c>
      <c r="E149" s="87">
        <f>E44*SUM(E$169)/SUM(E$64)</f>
        <v/>
      </c>
      <c r="F149" s="87">
        <f>F44*SUM(F$169)/SUM(F$64)</f>
        <v/>
      </c>
      <c r="G149" s="87">
        <f>G44*SUM(G$169)/SUM(G$64)</f>
        <v/>
      </c>
      <c r="H149" s="87">
        <f>H44*SUM(H$169)/SUM(H$64)</f>
        <v/>
      </c>
      <c r="I149" s="87">
        <f>I44*SUM(I$169)/SUM(I$64)</f>
        <v/>
      </c>
      <c r="J149" s="87">
        <f>J44*SUM(J$169)/SUM(J$64)</f>
        <v/>
      </c>
      <c r="K149" s="87">
        <f>K44*SUM(K$169)/SUM(K$64)</f>
        <v/>
      </c>
      <c r="L149" s="87">
        <f>L44*SUM(L$169)/SUM(L$64)</f>
        <v/>
      </c>
      <c r="M149" s="87">
        <f>M44*SUM(M$169)/SUM(M$64)</f>
        <v/>
      </c>
      <c r="N149" s="87">
        <f>N44*SUM(N$169)/SUM(N$64)</f>
        <v/>
      </c>
      <c r="O149" s="87">
        <f>O44*SUM(O$169)/SUM(O$64)</f>
        <v/>
      </c>
      <c r="P149" s="85">
        <f>SUM(D149:O149)</f>
        <v/>
      </c>
      <c r="Q149" s="2377" t="n"/>
      <c r="R149" s="2377" t="n"/>
      <c r="S149" s="2402" t="n"/>
      <c r="T149" s="2362" t="n"/>
      <c r="U149" s="2362" t="n"/>
      <c r="V149" s="2362" t="n"/>
      <c r="W149" s="2362" t="n"/>
      <c r="X149" s="2362" t="n"/>
      <c r="Y149" s="2362" t="n"/>
      <c r="Z149" s="2362" t="n"/>
      <c r="AA149" s="2362" t="n"/>
      <c r="AB149" s="2362" t="n"/>
      <c r="AC149" s="2362" t="n"/>
      <c r="AD149" s="2362" t="n"/>
      <c r="AE149" s="2362" t="n"/>
    </row>
    <row customFormat="1" customHeight="1" ht="14.25" r="150" s="2362" spans="1:57">
      <c r="A150" s="2407" t="n"/>
      <c r="B150" s="123" t="n"/>
      <c r="C150" s="2386" t="s">
        <v>198</v>
      </c>
      <c r="D150" s="87">
        <f>D45*SUM(D$164,D$166)/SUM(D$59,D$61)</f>
        <v/>
      </c>
      <c r="E150" s="87">
        <f>E45*SUM(E$164,E$166)/SUM(E$59,E$61)</f>
        <v/>
      </c>
      <c r="F150" s="87">
        <f>F45*SUM(F$164,F$166)/SUM(F$59,F$61)</f>
        <v/>
      </c>
      <c r="G150" s="87">
        <f>G45*SUM(G$164,G$166)/SUM(G$59,G$61)</f>
        <v/>
      </c>
      <c r="H150" s="87">
        <f>H45*SUM(H$164,H$166)/SUM(H$59,H$61)</f>
        <v/>
      </c>
      <c r="I150" s="87">
        <f>I45*SUM(I$164,I$166)/SUM(I$59,I$61)</f>
        <v/>
      </c>
      <c r="J150" s="87">
        <f>J45*SUM(J$164,J$166)/SUM(J$59,J$61)</f>
        <v/>
      </c>
      <c r="K150" s="87">
        <f>K45*SUM(K$164,K$166)/SUM(K$59,K$61)</f>
        <v/>
      </c>
      <c r="L150" s="87">
        <f>L45*SUM(L$164,L$166)/SUM(L$59,L$61)</f>
        <v/>
      </c>
      <c r="M150" s="87">
        <f>M45*SUM(M$164,M$166)/SUM(M$59,M$61)</f>
        <v/>
      </c>
      <c r="N150" s="87">
        <f>N45*SUM(N$164,N$166)/SUM(N$59,N$61)</f>
        <v/>
      </c>
      <c r="O150" s="87">
        <f>O45*SUM(O$164,O$166)/SUM(O$59,O$61)</f>
        <v/>
      </c>
      <c r="P150" s="85">
        <f>SUM(D150:O150)</f>
        <v/>
      </c>
      <c r="Q150" s="2402" t="n"/>
      <c r="T150" s="2362" t="n"/>
      <c r="U150" s="2362" t="n"/>
      <c r="V150" s="2362" t="n"/>
      <c r="W150" s="2362" t="n"/>
      <c r="X150" s="2362" t="n"/>
      <c r="Y150" s="2362" t="n"/>
      <c r="Z150" s="2362" t="n"/>
      <c r="AA150" s="2362" t="n"/>
      <c r="AB150" s="2362" t="n"/>
      <c r="AC150" s="2362" t="n"/>
      <c r="AD150" s="2362" t="n"/>
      <c r="AE150" s="2362" t="n"/>
    </row>
    <row customFormat="1" customHeight="1" ht="14.25" r="151" s="2362" spans="1:57">
      <c r="A151" s="2407" t="n"/>
      <c r="B151" s="123" t="n"/>
      <c r="C151" s="2385" t="s">
        <v>199</v>
      </c>
      <c r="D151" s="87">
        <f>D46*SUM(D$169)/SUM(D$64)</f>
        <v/>
      </c>
      <c r="E151" s="87">
        <f>E46*SUM(E$169)/SUM(E$64)</f>
        <v/>
      </c>
      <c r="F151" s="87">
        <f>F46*SUM(F$169)/SUM(F$64)</f>
        <v/>
      </c>
      <c r="G151" s="87">
        <f>G46*SUM(G$169)/SUM(G$64)</f>
        <v/>
      </c>
      <c r="H151" s="87">
        <f>H46*SUM(H$169)/SUM(H$64)</f>
        <v/>
      </c>
      <c r="I151" s="87">
        <f>I46*SUM(I$169)/SUM(I$64)</f>
        <v/>
      </c>
      <c r="J151" s="87">
        <f>J46*SUM(J$169)/SUM(J$64)</f>
        <v/>
      </c>
      <c r="K151" s="87">
        <f>K46*SUM(K$169)/SUM(K$64)</f>
        <v/>
      </c>
      <c r="L151" s="87">
        <f>L46*SUM(L$169)/SUM(L$64)</f>
        <v/>
      </c>
      <c r="M151" s="87">
        <f>M46*SUM(M$169)/SUM(M$64)</f>
        <v/>
      </c>
      <c r="N151" s="87">
        <f>N46*SUM(N$169)/SUM(N$64)</f>
        <v/>
      </c>
      <c r="O151" s="87">
        <f>O46*SUM(O$169)/SUM(O$64)</f>
        <v/>
      </c>
      <c r="P151" s="85">
        <f>SUM(D151:O151)</f>
        <v/>
      </c>
      <c r="Q151" s="2402" t="n"/>
      <c r="R151" s="2377" t="n"/>
      <c r="S151" s="2402" t="n"/>
      <c r="T151" s="2362" t="n"/>
      <c r="U151" s="2362" t="n"/>
      <c r="V151" s="2362" t="n"/>
      <c r="W151" s="2362" t="n"/>
      <c r="X151" s="2362" t="n"/>
      <c r="Y151" s="2362" t="n"/>
      <c r="Z151" s="2362" t="n"/>
      <c r="AA151" s="2362" t="n"/>
      <c r="AB151" s="2362" t="n"/>
      <c r="AC151" s="2362" t="n"/>
      <c r="AD151" s="2362" t="n"/>
      <c r="AE151" s="2362" t="n"/>
    </row>
    <row customFormat="1" customHeight="1" ht="14.25" r="152" s="2362" spans="1:57">
      <c r="A152" s="2407" t="n"/>
      <c r="B152" s="123" t="n"/>
      <c r="C152" s="2385" t="s">
        <v>200</v>
      </c>
      <c r="D152" s="87">
        <f>D47*SUM(D$164,D$166)/SUM(D$59,D$61)</f>
        <v/>
      </c>
      <c r="E152" s="87">
        <f>E47*SUM(E$164,E$166)/SUM(E$59,E$61)</f>
        <v/>
      </c>
      <c r="F152" s="87">
        <f>F47*SUM(F$164,F$166)/SUM(F$59,F$61)</f>
        <v/>
      </c>
      <c r="G152" s="87">
        <f>G47*SUM(G$164,G$166)/SUM(G$59,G$61)</f>
        <v/>
      </c>
      <c r="H152" s="87">
        <f>H47*SUM(H$164,H$166)/SUM(H$59,H$61)</f>
        <v/>
      </c>
      <c r="I152" s="87">
        <f>I47*SUM(I$164,I$166)/SUM(I$59,I$61)</f>
        <v/>
      </c>
      <c r="J152" s="87">
        <f>J47*SUM(J$164,J$166)/SUM(J$59,J$61)</f>
        <v/>
      </c>
      <c r="K152" s="87">
        <f>K47*SUM(K$164,K$166)/SUM(K$59,K$61)</f>
        <v/>
      </c>
      <c r="L152" s="87">
        <f>L47*SUM(L$164,L$166)/SUM(L$59,L$61)</f>
        <v/>
      </c>
      <c r="M152" s="87">
        <f>M47*SUM(M$164,M$166)/SUM(M$59,M$61)</f>
        <v/>
      </c>
      <c r="N152" s="87">
        <f>N47*SUM(N$164,N$166)/SUM(N$59,N$61)</f>
        <v/>
      </c>
      <c r="O152" s="87">
        <f>O47*SUM(O$164,O$166)/SUM(O$59,O$61)</f>
        <v/>
      </c>
      <c r="P152" s="85">
        <f>SUM(D152:O152)</f>
        <v/>
      </c>
      <c r="Q152" s="2402" t="n"/>
      <c r="R152" s="2377" t="n"/>
      <c r="S152" s="2402" t="n"/>
      <c r="T152" s="2362" t="n"/>
      <c r="U152" s="2362" t="n"/>
      <c r="V152" s="2362" t="n"/>
      <c r="W152" s="2362" t="n"/>
      <c r="X152" s="2362" t="n"/>
      <c r="Y152" s="2362" t="n"/>
      <c r="Z152" s="2362" t="n"/>
      <c r="AA152" s="2362" t="n"/>
      <c r="AB152" s="2362" t="n"/>
      <c r="AC152" s="2362" t="n"/>
      <c r="AD152" s="2362" t="n"/>
      <c r="AE152" s="2362" t="n"/>
    </row>
    <row customFormat="1" customHeight="1" ht="14.25" r="153" s="2362" spans="1:57">
      <c r="A153" s="2408" t="n"/>
      <c r="B153" s="71" t="n"/>
      <c r="C153" s="2385" t="s">
        <v>201</v>
      </c>
      <c r="D153" s="87">
        <f>D48*SUM(D$162,D$165:D$166)/SUM(D$57,D$60:D$61)</f>
        <v/>
      </c>
      <c r="E153" s="87">
        <f>E48*SUM(E$162,E$165:E$166)/SUM(E$57,E$60:E$61)</f>
        <v/>
      </c>
      <c r="F153" s="87">
        <f>F48*SUM(F$162,F$165:F$166)/SUM(F$57,F$60:F$61)</f>
        <v/>
      </c>
      <c r="G153" s="87">
        <f>G48*SUM(G$162,G$165:G$166)/SUM(G$57,G$60:G$61)</f>
        <v/>
      </c>
      <c r="H153" s="87">
        <f>H48*SUM(H$162,H$165:H$166)/SUM(H$57,H$60:H$61)</f>
        <v/>
      </c>
      <c r="I153" s="87">
        <f>I48*SUM(I$162,I$165:I$166)/SUM(I$57,I$60:I$61)</f>
        <v/>
      </c>
      <c r="J153" s="87">
        <f>J48*SUM(J$162,J$165:J$166)/SUM(J$57,J$60:J$61)</f>
        <v/>
      </c>
      <c r="K153" s="87">
        <f>K48*SUM(K$162,K$165:K$166)/SUM(K$57,K$60:K$61)</f>
        <v/>
      </c>
      <c r="L153" s="87">
        <f>L48*SUM(L$162,L$165:L$166)/SUM(L$57,L$60:L$61)</f>
        <v/>
      </c>
      <c r="M153" s="87">
        <f>M48*SUM(M$162,M$165:M$166)/SUM(M$57,M$60:M$61)</f>
        <v/>
      </c>
      <c r="N153" s="87">
        <f>N48*SUM(N$162,N$165:N$166)/SUM(N$57,N$60:N$61)</f>
        <v/>
      </c>
      <c r="O153" s="87">
        <f>O48*SUM(O$162,O$165:O$166)/SUM(O$57,O$60:O$61)</f>
        <v/>
      </c>
      <c r="P153" s="122">
        <f>SUM(D153:O153)</f>
        <v/>
      </c>
      <c r="Q153" s="2377" t="n"/>
      <c r="R153" s="2377" t="n"/>
      <c r="S153" s="2402" t="n"/>
      <c r="T153" s="2362" t="n"/>
      <c r="U153" s="2362" t="n"/>
      <c r="V153" s="2362" t="n"/>
      <c r="W153" s="2362" t="n"/>
      <c r="X153" s="2362" t="n"/>
      <c r="Y153" s="2362" t="n"/>
      <c r="Z153" s="2362" t="n"/>
      <c r="AA153" s="2362" t="n"/>
      <c r="AB153" s="2362" t="n"/>
      <c r="AC153" s="2362" t="n"/>
      <c r="AD153" s="2362" t="n"/>
      <c r="AE153" s="2362" t="n"/>
    </row>
    <row customFormat="1" customHeight="1" ht="36" r="154" s="2362" spans="1:57">
      <c r="A154" s="2408" t="n"/>
      <c r="B154" s="1171" t="n"/>
      <c r="C154" s="2387" t="s">
        <v>202</v>
      </c>
      <c r="D154" s="2423">
        <f>D49*SUM(D$164,D$166)/SUM(D$59,D$61)</f>
        <v/>
      </c>
      <c r="E154" s="2423">
        <f>E49*SUM(E$164,E$166)/SUM(E$59,E$61)</f>
        <v/>
      </c>
      <c r="F154" s="2423">
        <f>F49*SUM(F$164,F$166)/SUM(F$59,F$61)</f>
        <v/>
      </c>
      <c r="G154" s="2423">
        <f>G49*SUM(G$164,G$166)/SUM(G$59,G$61)</f>
        <v/>
      </c>
      <c r="H154" s="2423">
        <f>H49*SUM(H$164,H$166)/SUM(H$59,H$61)</f>
        <v/>
      </c>
      <c r="I154" s="2423">
        <f>I49*SUM(I$164,I$166)/SUM(I$59,I$61)</f>
        <v/>
      </c>
      <c r="J154" s="2423">
        <f>J49*SUM(J$164,J$166)/SUM(J$59,J$61)</f>
        <v/>
      </c>
      <c r="K154" s="2423">
        <f>K49*SUM(K$164,K$166)/SUM(K$59,K$61)</f>
        <v/>
      </c>
      <c r="L154" s="2423">
        <f>L49*SUM(L$164,L$166)/SUM(L$59,L$61)</f>
        <v/>
      </c>
      <c r="M154" s="2423">
        <f>M49*SUM(M$164,M$166)/SUM(M$59,M$61)</f>
        <v/>
      </c>
      <c r="N154" s="2423">
        <f>N49*SUM(N$164,N$166)/SUM(N$59,N$61)</f>
        <v/>
      </c>
      <c r="O154" s="2423">
        <f>O49*SUM(O$164,O$166)/SUM(O$59,O$61)</f>
        <v/>
      </c>
      <c r="P154" s="93">
        <f>SUM(D154:O154)</f>
        <v/>
      </c>
      <c r="Q154" s="2377" t="n"/>
      <c r="R154" s="2377" t="n"/>
      <c r="S154" s="2402" t="n"/>
      <c r="T154" s="2362" t="n"/>
      <c r="U154" s="2362" t="n"/>
      <c r="V154" s="2362" t="n"/>
      <c r="W154" s="2362" t="n"/>
      <c r="X154" s="2362" t="n"/>
      <c r="Y154" s="2362" t="n"/>
      <c r="Z154" s="2362" t="n"/>
      <c r="AA154" s="2362" t="n"/>
      <c r="AB154" s="2362" t="n"/>
      <c r="AC154" s="2362" t="n"/>
      <c r="AD154" s="2362" t="n"/>
      <c r="AE154" s="2362" t="n"/>
    </row>
    <row customFormat="1" customHeight="1" ht="14.25" r="155" s="2362" spans="1:57">
      <c r="A155" s="2407" t="n"/>
      <c r="B155" s="139" t="n"/>
      <c r="C155" s="2409" t="s">
        <v>216</v>
      </c>
      <c r="D155" s="128">
        <f>D50*SUM(D$162,D$165:D$166)/SUM(D$57,D$60:D$61)</f>
        <v/>
      </c>
      <c r="E155" s="128">
        <f>E50*SUM(E$162,E$165:E$166)/SUM(E$57,E$60:E$61)</f>
        <v/>
      </c>
      <c r="F155" s="128">
        <f>F50*SUM(F$162,F$165:F$166)/SUM(F$57,F$60:F$61)</f>
        <v/>
      </c>
      <c r="G155" s="128">
        <f>G50*SUM(G$162,G$165:G$166)/SUM(G$57,G$60:G$61)</f>
        <v/>
      </c>
      <c r="H155" s="128">
        <f>H50*SUM(H$162,H$165:H$166)/SUM(H$57,H$60:H$61)</f>
        <v/>
      </c>
      <c r="I155" s="128">
        <f>I50*SUM(I$162,I$165:I$166)/SUM(I$57,I$60:I$61)</f>
        <v/>
      </c>
      <c r="J155" s="128">
        <f>J50*SUM(J$162,J$165:J$166)/SUM(J$57,J$60:J$61)</f>
        <v/>
      </c>
      <c r="K155" s="128">
        <f>K50*SUM(K$162,K$165:K$166)/SUM(K$57,K$60:K$61)</f>
        <v/>
      </c>
      <c r="L155" s="128">
        <f>L50*SUM(L$162,L$165:L$166)/SUM(L$57,L$60:L$61)</f>
        <v/>
      </c>
      <c r="M155" s="128">
        <f>M50*SUM(M$162,M$165:M$166)/SUM(M$57,M$60:M$61)</f>
        <v/>
      </c>
      <c r="N155" s="128">
        <f>N50*SUM(N$162,N$165:N$166)/SUM(N$57,N$60:N$61)</f>
        <v/>
      </c>
      <c r="O155" s="128">
        <f>O50*SUM(O$162,O$165:O$166)/SUM(O$57,O$60:O$61)</f>
        <v/>
      </c>
      <c r="P155" s="129">
        <f>SUM(D155:O155)</f>
        <v/>
      </c>
      <c r="Q155" s="2362" t="n"/>
      <c r="R155" s="2362" t="n"/>
      <c r="S155" s="2362" t="n"/>
      <c r="T155" s="2362" t="n"/>
      <c r="U155" s="2362" t="n"/>
      <c r="V155" s="2362" t="n"/>
      <c r="W155" s="2362" t="n"/>
      <c r="X155" s="2362" t="n"/>
      <c r="Y155" s="2362" t="n"/>
      <c r="Z155" s="2362" t="n"/>
      <c r="AA155" s="2362" t="n"/>
      <c r="AB155" s="2362" t="n"/>
      <c r="AC155" s="2362" t="n"/>
      <c r="AD155" s="2362" t="n"/>
      <c r="AE155" s="2362" t="n"/>
    </row>
    <row customFormat="1" customHeight="1" ht="15" r="156" s="2362" spans="1:57" thickBot="1">
      <c r="A156" s="2407" t="n"/>
      <c r="B156" s="123" t="s">
        <v>217</v>
      </c>
      <c r="C156" s="2410" t="n"/>
      <c r="D156" s="1225">
        <f>SUM(D147:D155)</f>
        <v/>
      </c>
      <c r="E156" s="1225">
        <f>SUM(E147:E155)</f>
        <v/>
      </c>
      <c r="F156" s="1225">
        <f>SUM(F147:F155)</f>
        <v/>
      </c>
      <c r="G156" s="1225">
        <f>SUM(G147:G155)</f>
        <v/>
      </c>
      <c r="H156" s="1225">
        <f>SUM(H147:H155)</f>
        <v/>
      </c>
      <c r="I156" s="1225">
        <f>SUM(I147:I155)</f>
        <v/>
      </c>
      <c r="J156" s="1225">
        <f>SUM(J147:J155)</f>
        <v/>
      </c>
      <c r="K156" s="1225">
        <f>SUM(K147:K155)</f>
        <v/>
      </c>
      <c r="L156" s="1225">
        <f>SUM(L147:L155)</f>
        <v/>
      </c>
      <c r="M156" s="1225">
        <f>SUM(M147:M155)</f>
        <v/>
      </c>
      <c r="N156" s="1225">
        <f>SUM(N147:N155)</f>
        <v/>
      </c>
      <c r="O156" s="1225">
        <f>SUM(O147:O155)</f>
        <v/>
      </c>
      <c r="P156" s="1226">
        <f>SUM(D156:O156)</f>
        <v/>
      </c>
      <c r="Q156" s="2377" t="n"/>
      <c r="R156" s="2411" t="n"/>
      <c r="S156" s="2412" t="n"/>
      <c r="T156" s="2362" t="n"/>
      <c r="U156" s="2362" t="n"/>
      <c r="V156" s="2362" t="n"/>
      <c r="W156" s="2362" t="n"/>
      <c r="X156" s="2362" t="n"/>
      <c r="Y156" s="2362" t="n"/>
      <c r="Z156" s="2362" t="n"/>
      <c r="AA156" s="2362" t="n"/>
      <c r="AB156" s="2362" t="n"/>
      <c r="AC156" s="2362" t="n"/>
      <c r="AD156" s="2362" t="n"/>
      <c r="AE156" s="2362" t="n"/>
    </row>
    <row customFormat="1" customHeight="1" ht="14.25" r="157" s="2362" spans="1:57">
      <c r="A157" s="2388" t="n"/>
      <c r="B157" s="2388" t="n"/>
      <c r="C157" s="2388" t="s">
        <v>218</v>
      </c>
      <c r="D157" s="1393">
        <f>SUM(D146,D156)</f>
        <v/>
      </c>
      <c r="E157" s="1393">
        <f>SUM(E146,E156)</f>
        <v/>
      </c>
      <c r="F157" s="1393">
        <f>SUM(F146,F156)</f>
        <v/>
      </c>
      <c r="G157" s="1393">
        <f>SUM(G146,G156)</f>
        <v/>
      </c>
      <c r="H157" s="1393">
        <f>SUM(H146,H156)</f>
        <v/>
      </c>
      <c r="I157" s="1393">
        <f>SUM(I146,I156)</f>
        <v/>
      </c>
      <c r="J157" s="1393">
        <f>SUM(J146,J156)</f>
        <v/>
      </c>
      <c r="K157" s="1393">
        <f>SUM(K146,K156)</f>
        <v/>
      </c>
      <c r="L157" s="1393">
        <f>SUM(L146,L156)</f>
        <v/>
      </c>
      <c r="M157" s="1393">
        <f>SUM(M146,M156)</f>
        <v/>
      </c>
      <c r="N157" s="1393">
        <f>SUM(N146,N156)</f>
        <v/>
      </c>
      <c r="O157" s="1393">
        <f>SUM(O146,O156)</f>
        <v/>
      </c>
      <c r="P157" s="89">
        <f>SUM(P146,P156)</f>
        <v/>
      </c>
      <c r="Q157" s="2377" t="n"/>
      <c r="R157" s="2411" t="n"/>
      <c r="S157" s="2412" t="n"/>
      <c r="T157" s="2362" t="n"/>
      <c r="U157" s="2362" t="n"/>
      <c r="V157" s="2362" t="n"/>
      <c r="W157" s="2362" t="n"/>
      <c r="X157" s="2362" t="n"/>
      <c r="Y157" s="2362" t="n"/>
      <c r="Z157" s="2362" t="n"/>
      <c r="AA157" s="2362" t="n"/>
      <c r="AB157" s="2362" t="n"/>
      <c r="AC157" s="2362" t="n"/>
      <c r="AD157" s="2362" t="n"/>
      <c r="AE157" s="2362" t="n"/>
    </row>
    <row customFormat="1" customHeight="1" ht="14.25" r="158" s="2362" spans="1:57">
      <c r="A158" s="2392" t="s">
        <v>203</v>
      </c>
      <c r="B158" s="2393" t="n"/>
      <c r="C158" s="2413" t="s">
        <v>204</v>
      </c>
      <c r="D158" s="2424" t="n">
        <v>0.25</v>
      </c>
      <c r="E158" s="2424" t="n">
        <v>0.25</v>
      </c>
      <c r="F158" s="2424" t="n">
        <v>0.25</v>
      </c>
      <c r="G158" s="2424" t="n">
        <v>0.25</v>
      </c>
      <c r="H158" s="2424" t="n">
        <v>0.25</v>
      </c>
      <c r="I158" s="2424" t="n">
        <v>0.25</v>
      </c>
      <c r="J158" s="2424" t="n">
        <v>0.25</v>
      </c>
      <c r="K158" s="2424" t="n">
        <v>0.25</v>
      </c>
      <c r="L158" s="2424" t="n">
        <v>0.25</v>
      </c>
      <c r="M158" s="2424" t="n">
        <v>0.25</v>
      </c>
      <c r="N158" s="2424" t="n">
        <v>0.25</v>
      </c>
      <c r="O158" s="2424" t="n">
        <v>0.25</v>
      </c>
      <c r="P158" s="1219">
        <f>SUM(D158:O158)</f>
        <v/>
      </c>
    </row>
    <row customFormat="1" customHeight="1" ht="14.25" r="159" s="2362" spans="1:57">
      <c r="B159" s="2395" t="n"/>
      <c r="C159" s="2399" t="s">
        <v>14</v>
      </c>
      <c r="D159" s="2425" t="n">
        <v>2.5</v>
      </c>
      <c r="E159" s="2425" t="n">
        <v>2.5</v>
      </c>
      <c r="F159" s="2425" t="n">
        <v>2.5</v>
      </c>
      <c r="G159" s="2425" t="n">
        <v>2.5</v>
      </c>
      <c r="H159" s="2425" t="n">
        <v>2.5</v>
      </c>
      <c r="I159" s="2425" t="n">
        <v>2.5</v>
      </c>
      <c r="J159" s="2425" t="n">
        <v>2.5</v>
      </c>
      <c r="K159" s="2425" t="n">
        <v>2.5</v>
      </c>
      <c r="L159" s="2425" t="n">
        <v>2.5</v>
      </c>
      <c r="M159" s="2425" t="n">
        <v>2.5</v>
      </c>
      <c r="N159" s="2425" t="n">
        <v>2.5</v>
      </c>
      <c r="O159" s="2425" t="n">
        <v>2.5</v>
      </c>
      <c r="P159" s="1219">
        <f>SUM(D159:O159)</f>
        <v/>
      </c>
    </row>
    <row customFormat="1" customHeight="1" ht="14.25" r="160" s="2362" spans="1:57">
      <c r="B160" s="2395" t="n"/>
      <c r="C160" s="2399" t="s">
        <v>15</v>
      </c>
      <c r="D160" s="1395" t="n">
        <v>0</v>
      </c>
      <c r="E160" s="1395" t="n">
        <v>0</v>
      </c>
      <c r="F160" s="1395" t="n">
        <v>0</v>
      </c>
      <c r="G160" s="1395" t="n">
        <v>0</v>
      </c>
      <c r="H160" s="1395" t="n">
        <v>0</v>
      </c>
      <c r="I160" s="1395" t="n">
        <v>0</v>
      </c>
      <c r="J160" s="1395" t="n">
        <v>0</v>
      </c>
      <c r="K160" s="1395" t="n">
        <v>0</v>
      </c>
      <c r="L160" s="1395" t="n">
        <v>0</v>
      </c>
      <c r="M160" s="1395" t="n">
        <v>0</v>
      </c>
      <c r="N160" s="1395" t="n">
        <v>0</v>
      </c>
      <c r="O160" s="1395" t="n">
        <v>0</v>
      </c>
      <c r="P160" s="1219">
        <f>SUM(D160:O160)</f>
        <v/>
      </c>
    </row>
    <row customFormat="1" customHeight="1" ht="14.25" r="161" s="2362" spans="1:57">
      <c r="B161" s="2395" t="n"/>
      <c r="C161" s="2399" t="s">
        <v>16</v>
      </c>
      <c r="D161" s="1395" t="n">
        <v>0</v>
      </c>
      <c r="E161" s="1395" t="n">
        <v>0</v>
      </c>
      <c r="F161" s="1395" t="n">
        <v>0</v>
      </c>
      <c r="G161" s="1395" t="n">
        <v>0</v>
      </c>
      <c r="H161" s="1395" t="n">
        <v>0</v>
      </c>
      <c r="I161" s="1395" t="n">
        <v>0</v>
      </c>
      <c r="J161" s="1395" t="n">
        <v>0</v>
      </c>
      <c r="K161" s="1395" t="n">
        <v>0</v>
      </c>
      <c r="L161" s="1395" t="n">
        <v>0</v>
      </c>
      <c r="M161" s="1395" t="n">
        <v>0</v>
      </c>
      <c r="N161" s="1395" t="n">
        <v>0</v>
      </c>
      <c r="O161" s="1395" t="n">
        <v>0</v>
      </c>
      <c r="P161" s="1219">
        <f>SUM(D161:O161)</f>
        <v/>
      </c>
    </row>
    <row customFormat="1" customHeight="1" ht="14.25" r="162" s="2362" spans="1:57">
      <c r="B162" s="2395" t="n"/>
      <c r="C162" s="2399" t="s">
        <v>205</v>
      </c>
      <c r="D162" s="192">
        <f>SUM(D158:D161)</f>
        <v/>
      </c>
      <c r="E162" s="192">
        <f>SUM(E158:E161)</f>
        <v/>
      </c>
      <c r="F162" s="192">
        <f>SUM(F158:F161)</f>
        <v/>
      </c>
      <c r="G162" s="192">
        <f>SUM(G158:G161)</f>
        <v/>
      </c>
      <c r="H162" s="192">
        <f>SUM(H158:H161)</f>
        <v/>
      </c>
      <c r="I162" s="192">
        <f>SUM(I158:I161)</f>
        <v/>
      </c>
      <c r="J162" s="192">
        <f>SUM(J158:J161)</f>
        <v/>
      </c>
      <c r="K162" s="192">
        <f>SUM(K158:K161)</f>
        <v/>
      </c>
      <c r="L162" s="192">
        <f>SUM(L158:L161)</f>
        <v/>
      </c>
      <c r="M162" s="192">
        <f>SUM(M158:M161)</f>
        <v/>
      </c>
      <c r="N162" s="192">
        <f>SUM(N158:N161)</f>
        <v/>
      </c>
      <c r="O162" s="192">
        <f>SUM(O158:O161)</f>
        <v/>
      </c>
      <c r="P162" s="1219">
        <f>SUM(D162:O162)</f>
        <v/>
      </c>
    </row>
    <row customFormat="1" customHeight="1" ht="14.25" r="163" s="2362" spans="1:57">
      <c r="B163" s="2395" t="n"/>
      <c r="C163" s="2399" t="s">
        <v>206</v>
      </c>
      <c r="D163" s="2426" t="n">
        <v>0.25</v>
      </c>
      <c r="E163" s="2426" t="n">
        <v>0.25</v>
      </c>
      <c r="F163" s="2426" t="n">
        <v>0.25</v>
      </c>
      <c r="G163" s="2426" t="n">
        <v>0.25</v>
      </c>
      <c r="H163" s="2426" t="n">
        <v>0.25</v>
      </c>
      <c r="I163" s="2426" t="n">
        <v>0.25</v>
      </c>
      <c r="J163" s="2426" t="n">
        <v>0.25</v>
      </c>
      <c r="K163" s="2426" t="n">
        <v>0.25</v>
      </c>
      <c r="L163" s="2426" t="n">
        <v>0.25</v>
      </c>
      <c r="M163" s="2426" t="n">
        <v>0.25</v>
      </c>
      <c r="N163" s="2426" t="n">
        <v>0.25</v>
      </c>
      <c r="O163" s="2426" t="n">
        <v>0.25</v>
      </c>
      <c r="P163" s="1219">
        <f>SUM(D163:O163)</f>
        <v/>
      </c>
      <c r="R163" s="2362" t="n"/>
    </row>
    <row customFormat="1" customHeight="1" ht="14.25" r="164" s="2362" spans="1:57">
      <c r="B164" s="2398" t="n"/>
      <c r="C164" s="2400" t="s">
        <v>207</v>
      </c>
      <c r="D164" s="1233">
        <f>D162-D163</f>
        <v/>
      </c>
      <c r="E164" s="1233">
        <f>E162-E163</f>
        <v/>
      </c>
      <c r="F164" s="1233">
        <f>F162-F163</f>
        <v/>
      </c>
      <c r="G164" s="1233">
        <f>G162-G163</f>
        <v/>
      </c>
      <c r="H164" s="1233">
        <f>H162-H163</f>
        <v/>
      </c>
      <c r="I164" s="1233">
        <f>I162-I163</f>
        <v/>
      </c>
      <c r="J164" s="1233">
        <f>J162-J163</f>
        <v/>
      </c>
      <c r="K164" s="1233">
        <f>K162-K163</f>
        <v/>
      </c>
      <c r="L164" s="1233">
        <f>L162-L163</f>
        <v/>
      </c>
      <c r="M164" s="1233">
        <f>M162-M163</f>
        <v/>
      </c>
      <c r="N164" s="1233">
        <f>N162-N163</f>
        <v/>
      </c>
      <c r="O164" s="1233">
        <f>O162-O163</f>
        <v/>
      </c>
      <c r="P164" s="1219">
        <f>SUM(D164:O164)</f>
        <v/>
      </c>
      <c r="R164" s="2362" t="n"/>
    </row>
    <row customFormat="1" customHeight="1" ht="14.25" r="165" s="2362" spans="1:57">
      <c r="A165" s="2415" t="s">
        <v>157</v>
      </c>
      <c r="B165" s="2395" t="n"/>
      <c r="C165" s="2399" t="s">
        <v>208</v>
      </c>
      <c r="D165" s="1234" t="n">
        <v>0</v>
      </c>
      <c r="E165" s="1234" t="n">
        <v>0</v>
      </c>
      <c r="F165" s="1234" t="n">
        <v>0</v>
      </c>
      <c r="G165" s="1234" t="n">
        <v>0</v>
      </c>
      <c r="H165" s="1234" t="n">
        <v>0</v>
      </c>
      <c r="I165" s="1234" t="n">
        <v>0</v>
      </c>
      <c r="J165" s="1234" t="n">
        <v>0</v>
      </c>
      <c r="K165" s="1234" t="n">
        <v>0</v>
      </c>
      <c r="L165" s="1234" t="n">
        <v>0</v>
      </c>
      <c r="M165" s="1234" t="n">
        <v>0</v>
      </c>
      <c r="N165" s="1234" t="n">
        <v>0</v>
      </c>
      <c r="O165" s="1234" t="n">
        <v>0</v>
      </c>
      <c r="P165" s="1219">
        <f>SUM(D165:O165)</f>
        <v/>
      </c>
      <c r="R165" s="2362" t="n"/>
    </row>
    <row customFormat="1" customHeight="1" ht="14.25" r="166" s="2362" spans="1:57">
      <c r="B166" s="2395" t="n"/>
      <c r="C166" s="2399" t="s">
        <v>209</v>
      </c>
      <c r="D166" s="1234">
        <f>SUMPRODUCT(('FY18 SET'!$B$4:$B67=$A$144)*('FY18 SET'!$F$4:$F67="实际OS")*('FY18 SET'!G$4:G$67))</f>
        <v/>
      </c>
      <c r="E166" s="1234">
        <f>SUMPRODUCT(('FY18 SET'!$B$4:$B67=$A$144)*('FY18 SET'!$F$4:$F67="实际OS")*('FY18 SET'!H$4:H$67))</f>
        <v/>
      </c>
      <c r="F166" s="1234">
        <f>SUMPRODUCT(('FY18 SET'!$B$4:$B67=$A$144)*('FY18 SET'!$F$4:$F67="实际OS")*('FY18 SET'!I$4:I$67))</f>
        <v/>
      </c>
      <c r="G166" s="1234">
        <f>SUMPRODUCT(('FY18 SET'!$B$4:$B67=$A$144)*('FY18 SET'!$F$4:$F67="实际OS")*('FY18 SET'!J$4:J$67))</f>
        <v/>
      </c>
      <c r="H166" s="1234">
        <f>SUMPRODUCT(('FY18 SET'!$B$4:$B67=$A$144)*('FY18 SET'!$F$4:$F67="实际OS")*('FY18 SET'!K$4:K$67))</f>
        <v/>
      </c>
      <c r="I166" s="1234">
        <f>SUMPRODUCT(('FY18 SET'!$B$4:$B67=$A$144)*('FY18 SET'!$F$4:$F67="实际OS")*('FY18 SET'!L$4:L$67))</f>
        <v/>
      </c>
      <c r="J166" s="1234">
        <f>SUMPRODUCT(('FY18 SET'!$B$4:$B67=$A$144)*('FY18 SET'!$F$4:$F67="实际OS")*('FY18 SET'!N$4:N$67))</f>
        <v/>
      </c>
      <c r="K166" s="1234">
        <f>SUMPRODUCT(('FY18 SET'!$B$4:$B67=$A$144)*('FY18 SET'!$F$4:$F67="实际OS")*('FY18 SET'!O$4:O$67))</f>
        <v/>
      </c>
      <c r="L166" s="1234">
        <f>SUMPRODUCT(('FY18 SET'!$B$4:$B67=$A$144)*('FY18 SET'!$F$4:$F67="实际OS")*('FY18 SET'!P$4:P$67))</f>
        <v/>
      </c>
      <c r="M166" s="1234">
        <f>SUMPRODUCT(('FY18 SET'!$B$4:$B67=$A$144)*('FY18 SET'!$F$4:$F67="实际OS")*('FY18 SET'!Q$4:Q$67))</f>
        <v/>
      </c>
      <c r="N166" s="1234">
        <f>SUMPRODUCT(('FY18 SET'!$B$4:$B67=$A$144)*('FY18 SET'!$F$4:$F67="实际OS")*('FY18 SET'!R$4:R$67))</f>
        <v/>
      </c>
      <c r="O166" s="1234">
        <f>SUMPRODUCT(('FY18 SET'!$B$4:$B67=$A$144)*('FY18 SET'!$F$4:$F67="实际OS")*('FY18 SET'!S$4:S$67))</f>
        <v/>
      </c>
      <c r="P166" s="1219">
        <f>SUM(D166:O166)</f>
        <v/>
      </c>
    </row>
    <row customFormat="1" customHeight="1" ht="14.25" r="167" s="2362" spans="1:57">
      <c r="B167" s="2395" t="n"/>
      <c r="C167" s="2399" t="s">
        <v>210</v>
      </c>
      <c r="D167" s="1234" t="n">
        <v>0</v>
      </c>
      <c r="E167" s="1234" t="n">
        <v>0</v>
      </c>
      <c r="F167" s="1234" t="n">
        <v>0</v>
      </c>
      <c r="G167" s="1234" t="n">
        <v>0</v>
      </c>
      <c r="H167" s="1234" t="n">
        <v>0</v>
      </c>
      <c r="I167" s="1234" t="n">
        <v>0</v>
      </c>
      <c r="J167" s="1234" t="n">
        <v>0</v>
      </c>
      <c r="K167" s="1234" t="n">
        <v>0</v>
      </c>
      <c r="L167" s="1234" t="n">
        <v>0</v>
      </c>
      <c r="M167" s="1234" t="n">
        <v>0</v>
      </c>
      <c r="N167" s="1234" t="n">
        <v>0</v>
      </c>
      <c r="O167" s="1234" t="n">
        <v>0</v>
      </c>
      <c r="P167" s="1219">
        <f>SUM(D167:O167)</f>
        <v/>
      </c>
    </row>
    <row customFormat="1" customHeight="1" ht="14.25" r="168" s="2362" spans="1:57">
      <c r="B168" s="1231" t="n"/>
      <c r="C168" s="2400" t="s">
        <v>211</v>
      </c>
      <c r="D168" s="1233">
        <f>SUM(D165:D167)</f>
        <v/>
      </c>
      <c r="E168" s="1233">
        <f>SUM(E166:E167)</f>
        <v/>
      </c>
      <c r="F168" s="1233">
        <f>SUM(F166:F167)</f>
        <v/>
      </c>
      <c r="G168" s="1233">
        <f>SUM(G166:G167)</f>
        <v/>
      </c>
      <c r="H168" s="1233">
        <f>SUM(H166:H167)</f>
        <v/>
      </c>
      <c r="I168" s="1233">
        <f>SUM(I166:I167)</f>
        <v/>
      </c>
      <c r="J168" s="1233">
        <f>SUM(J166:J167)</f>
        <v/>
      </c>
      <c r="K168" s="1233">
        <f>SUM(K166:K167)</f>
        <v/>
      </c>
      <c r="L168" s="1233">
        <f>SUM(L166:L167)</f>
        <v/>
      </c>
      <c r="M168" s="1233">
        <f>SUM(M166:M167)</f>
        <v/>
      </c>
      <c r="N168" s="1233">
        <f>SUM(N166:N167)</f>
        <v/>
      </c>
      <c r="O168" s="1233">
        <f>SUM(O166:O167)</f>
        <v/>
      </c>
      <c r="P168" s="1219">
        <f>SUM(D168:O168)</f>
        <v/>
      </c>
    </row>
    <row customFormat="1" customHeight="1" ht="14.25" r="169" s="2362" spans="1:57">
      <c r="A169" s="2416" t="s">
        <v>219</v>
      </c>
      <c r="B169" s="2417" t="n"/>
      <c r="C169" s="2418" t="s">
        <v>220</v>
      </c>
      <c r="D169" s="1278">
        <f>SUM(D163,D165)</f>
        <v/>
      </c>
      <c r="E169" s="1278">
        <f>SUM(E163,E165)</f>
        <v/>
      </c>
      <c r="F169" s="1278">
        <f>SUM(F163,F165)</f>
        <v/>
      </c>
      <c r="G169" s="1278">
        <f>SUM(G163,G165)</f>
        <v/>
      </c>
      <c r="H169" s="1278">
        <f>SUM(H163,H165)</f>
        <v/>
      </c>
      <c r="I169" s="1278">
        <f>SUM(I163,I165)</f>
        <v/>
      </c>
      <c r="J169" s="1278">
        <f>SUM(J163,J165)</f>
        <v/>
      </c>
      <c r="K169" s="1278">
        <f>SUM(K163,K165)</f>
        <v/>
      </c>
      <c r="L169" s="1278">
        <f>SUM(L163,L165)</f>
        <v/>
      </c>
      <c r="M169" s="1278">
        <f>SUM(M163,M165)</f>
        <v/>
      </c>
      <c r="N169" s="1278">
        <f>SUM(N163,N165)</f>
        <v/>
      </c>
      <c r="O169" s="1278">
        <f>SUM(O163,O165)</f>
        <v/>
      </c>
      <c r="P169" s="1219">
        <f>SUM(D169:O169)</f>
        <v/>
      </c>
      <c r="Q169" s="2362" t="n"/>
      <c r="R169" s="2362" t="n"/>
      <c r="S169" s="2362" t="n"/>
      <c r="T169" s="2362" t="n"/>
      <c r="U169" s="2362" t="n"/>
      <c r="V169" s="2362" t="n"/>
      <c r="W169" s="2362" t="n"/>
      <c r="X169" s="2362" t="n"/>
      <c r="Y169" s="2362" t="n"/>
      <c r="Z169" s="2362" t="n"/>
      <c r="AA169" s="2362" t="n"/>
      <c r="AB169" s="2362" t="n"/>
      <c r="AC169" s="2362" t="n"/>
      <c r="AD169" s="2362" t="n"/>
      <c r="AE169" s="2362" t="n"/>
    </row>
    <row customFormat="1" customHeight="1" ht="14.25" r="170" s="2362" spans="1:57">
      <c r="B170" s="2419" t="n"/>
      <c r="C170" s="2420" t="s">
        <v>221</v>
      </c>
      <c r="D170" s="1279">
        <f>SUM(D164,D166)</f>
        <v/>
      </c>
      <c r="E170" s="1279">
        <f>SUM(E164,E166)</f>
        <v/>
      </c>
      <c r="F170" s="1279">
        <f>SUM(F164,F166)</f>
        <v/>
      </c>
      <c r="G170" s="1279">
        <f>SUM(G164,G166)</f>
        <v/>
      </c>
      <c r="H170" s="1279">
        <f>SUM(H164,H166)</f>
        <v/>
      </c>
      <c r="I170" s="1279">
        <f>SUM(I164,I166)</f>
        <v/>
      </c>
      <c r="J170" s="1279">
        <f>SUM(J164,J166)</f>
        <v/>
      </c>
      <c r="K170" s="1279">
        <f>SUM(K164,K166)</f>
        <v/>
      </c>
      <c r="L170" s="1279">
        <f>SUM(L164,L166)</f>
        <v/>
      </c>
      <c r="M170" s="1279">
        <f>SUM(M164,M166)</f>
        <v/>
      </c>
      <c r="N170" s="1279">
        <f>SUM(N164,N166)</f>
        <v/>
      </c>
      <c r="O170" s="1279">
        <f>SUM(O164,O166)</f>
        <v/>
      </c>
      <c r="P170" s="1219">
        <f>SUM(D170:O170)</f>
        <v/>
      </c>
      <c r="Q170" s="2362" t="n"/>
      <c r="R170" s="2362" t="n"/>
      <c r="S170" s="2362" t="n"/>
      <c r="T170" s="2362" t="n"/>
      <c r="U170" s="2362" t="n"/>
      <c r="V170" s="2362" t="n"/>
      <c r="W170" s="2362" t="n"/>
      <c r="X170" s="2362" t="n"/>
      <c r="Y170" s="2362" t="n"/>
      <c r="Z170" s="2362" t="n"/>
      <c r="AA170" s="2362" t="n"/>
      <c r="AB170" s="2362" t="n"/>
      <c r="AC170" s="2362" t="n"/>
      <c r="AD170" s="2362" t="n"/>
      <c r="AE170" s="2362" t="n"/>
    </row>
    <row customFormat="1" customHeight="1" ht="14.25" r="171" s="2362" spans="1:57">
      <c r="B171" s="1274" t="n"/>
      <c r="C171" s="2421" t="s">
        <v>222</v>
      </c>
      <c r="D171" s="1280">
        <f>SUM(D169:D170)</f>
        <v/>
      </c>
      <c r="E171" s="1276">
        <f>SUM(E169:E170)</f>
        <v/>
      </c>
      <c r="F171" s="1276">
        <f>SUM(F169:F170)</f>
        <v/>
      </c>
      <c r="G171" s="1276">
        <f>SUM(G169:G170)</f>
        <v/>
      </c>
      <c r="H171" s="1276">
        <f>SUM(H169:H170)</f>
        <v/>
      </c>
      <c r="I171" s="1276">
        <f>SUM(I169:I170)</f>
        <v/>
      </c>
      <c r="J171" s="1276">
        <f>SUM(J169:J170)</f>
        <v/>
      </c>
      <c r="K171" s="1276">
        <f>SUM(K169:K170)</f>
        <v/>
      </c>
      <c r="L171" s="1276">
        <f>SUM(L169:L170)</f>
        <v/>
      </c>
      <c r="M171" s="1276">
        <f>SUM(M169:M170)</f>
        <v/>
      </c>
      <c r="N171" s="1276">
        <f>SUM(N169:N170)</f>
        <v/>
      </c>
      <c r="O171" s="1277">
        <f>SUM(O169:O170)</f>
        <v/>
      </c>
      <c r="P171" s="1219">
        <f>SUM(D171:O171)</f>
        <v/>
      </c>
      <c r="Q171" s="2362" t="n"/>
      <c r="R171" s="2362" t="n"/>
      <c r="S171" s="2362" t="n"/>
      <c r="T171" s="2362" t="n"/>
      <c r="U171" s="2362" t="n"/>
      <c r="V171" s="2362" t="n"/>
      <c r="W171" s="2362" t="n"/>
      <c r="X171" s="2362" t="n"/>
      <c r="Y171" s="2362" t="n"/>
      <c r="Z171" s="2362" t="n"/>
      <c r="AA171" s="2362" t="n"/>
      <c r="AB171" s="2362" t="n"/>
      <c r="AC171" s="2362" t="n"/>
      <c r="AD171" s="2362" t="n"/>
      <c r="AE171" s="2362" t="n"/>
    </row>
    <row customFormat="1" customHeight="1" ht="14.25" r="172" s="2362" spans="1:57">
      <c r="A172" s="2422" t="n"/>
      <c r="B172" s="2395" t="n"/>
      <c r="C172" s="2420" t="n"/>
      <c r="D172" s="1200" t="n"/>
      <c r="E172" s="1200" t="n"/>
      <c r="F172" s="1200" t="n"/>
      <c r="G172" s="1200" t="n"/>
      <c r="H172" s="1200" t="n"/>
      <c r="I172" s="1200" t="n"/>
      <c r="J172" s="1200" t="n"/>
      <c r="K172" s="1200" t="n"/>
      <c r="L172" s="1200" t="n"/>
      <c r="M172" s="1200" t="n"/>
      <c r="N172" s="1200" t="n"/>
      <c r="O172" s="1200" t="n"/>
      <c r="P172" s="2422" t="n"/>
      <c r="Q172" s="2362" t="n"/>
      <c r="R172" s="2362" t="n"/>
      <c r="S172" s="2362" t="n"/>
      <c r="T172" s="2362" t="n"/>
      <c r="U172" s="2362" t="n"/>
      <c r="V172" s="2362" t="n"/>
      <c r="W172" s="2362" t="n"/>
      <c r="X172" s="2362" t="n"/>
      <c r="Y172" s="2362" t="n"/>
      <c r="Z172" s="2362" t="n"/>
      <c r="AA172" s="2362" t="n"/>
      <c r="AB172" s="2362" t="n"/>
      <c r="AC172" s="2362" t="n"/>
      <c r="AD172" s="2362" t="n"/>
      <c r="AE172" s="2362" t="n"/>
    </row>
    <row customFormat="1" customHeight="1" ht="14.25" r="173" s="2362" spans="1:57">
      <c r="A173" s="2422" t="n"/>
      <c r="B173" s="2395" t="n"/>
      <c r="C173" s="2420" t="n"/>
      <c r="D173" s="1200" t="n"/>
      <c r="E173" s="1200" t="n"/>
      <c r="F173" s="1200" t="n"/>
      <c r="G173" s="1200" t="n"/>
      <c r="H173" s="1200" t="n"/>
      <c r="I173" s="1200" t="n"/>
      <c r="J173" s="1200" t="n"/>
      <c r="K173" s="1200" t="n"/>
      <c r="L173" s="1200" t="n"/>
      <c r="M173" s="1200" t="n"/>
      <c r="N173" s="1200" t="n"/>
      <c r="O173" s="1200" t="n"/>
      <c r="P173" s="2422" t="n"/>
      <c r="Q173" s="2362" t="n"/>
      <c r="R173" s="2362" t="n"/>
      <c r="S173" s="2362" t="n"/>
      <c r="T173" s="2362" t="n"/>
      <c r="U173" s="2362" t="n"/>
      <c r="V173" s="2362" t="n"/>
      <c r="W173" s="2362" t="n"/>
      <c r="X173" s="2362" t="n"/>
      <c r="Y173" s="2362" t="n"/>
      <c r="Z173" s="2362" t="n"/>
      <c r="AA173" s="2362" t="n"/>
      <c r="AB173" s="2362" t="n"/>
      <c r="AC173" s="2362" t="n"/>
      <c r="AD173" s="2362" t="n"/>
      <c r="AE173" s="2362" t="n"/>
    </row>
    <row customHeight="1" ht="15.75" r="174" s="1843" spans="1:57">
      <c r="A174" s="2370" t="n"/>
      <c r="B174" s="80" t="n"/>
      <c r="C174" s="2371" t="n"/>
      <c r="D174" s="2372" t="n">
        <v>43191</v>
      </c>
      <c r="E174" s="2372" t="n">
        <v>43221</v>
      </c>
      <c r="F174" s="2372" t="n">
        <v>43252</v>
      </c>
      <c r="G174" s="2372" t="n">
        <v>43282</v>
      </c>
      <c r="H174" s="2372" t="n">
        <v>43313</v>
      </c>
      <c r="I174" s="2372" t="n">
        <v>43344</v>
      </c>
      <c r="J174" s="2372" t="n">
        <v>43374</v>
      </c>
      <c r="K174" s="2372" t="n">
        <v>43405</v>
      </c>
      <c r="L174" s="2372" t="n">
        <v>43435</v>
      </c>
      <c r="M174" s="2372" t="n">
        <v>43466</v>
      </c>
      <c r="N174" s="2372" t="n">
        <v>43497</v>
      </c>
      <c r="O174" s="2372" t="n">
        <v>43525</v>
      </c>
      <c r="P174" s="2373" t="s">
        <v>55</v>
      </c>
      <c r="Q174" s="2362" t="n"/>
      <c r="R174" s="2374" t="s">
        <v>185</v>
      </c>
      <c r="T174" s="2362" t="n"/>
      <c r="U174" s="2362" t="n"/>
      <c r="V174" s="2362" t="n"/>
      <c r="W174" s="2362" t="n"/>
      <c r="X174" s="2362" t="n"/>
      <c r="Y174" s="2362" t="n"/>
      <c r="Z174" s="2362" t="n"/>
      <c r="AA174" s="2362" t="n"/>
      <c r="AB174" s="2362" t="n"/>
      <c r="AC174" s="2362" t="n"/>
      <c r="AD174" s="2362" t="n"/>
      <c r="AE174" s="2362" t="n"/>
    </row>
    <row customHeight="1" ht="15.75" r="175" s="1843" spans="1:57">
      <c r="A175" s="2375" t="n"/>
      <c r="B175" s="64" t="n"/>
      <c r="C175" s="2376" t="s">
        <v>187</v>
      </c>
      <c r="D175" s="1381">
        <f>CFG!E114</f>
        <v/>
      </c>
      <c r="E175" s="1381">
        <f>CFG!F114</f>
        <v/>
      </c>
      <c r="F175" s="1381">
        <f>CFG!G114</f>
        <v/>
      </c>
      <c r="G175" s="1381">
        <f>CFG!H114</f>
        <v/>
      </c>
      <c r="H175" s="1381">
        <f>CFG!I114</f>
        <v/>
      </c>
      <c r="I175" s="1381">
        <f>CFG!J114</f>
        <v/>
      </c>
      <c r="J175" s="1381">
        <f>CFG!K114</f>
        <v/>
      </c>
      <c r="K175" s="1381">
        <f>CFG!L114</f>
        <v/>
      </c>
      <c r="L175" s="1381">
        <f>CFG!M114</f>
        <v/>
      </c>
      <c r="M175" s="1381">
        <f>CFG!N114</f>
        <v/>
      </c>
      <c r="N175" s="1381">
        <f>CFG!O114</f>
        <v/>
      </c>
      <c r="O175" s="1381">
        <f>CFG!P114</f>
        <v/>
      </c>
      <c r="P175" s="1178">
        <f>SUM(D175:O175)</f>
        <v/>
      </c>
      <c r="Q175" s="2377" t="n"/>
      <c r="R175" s="2428">
        <f>SUM(P209,P244,P278,P312)</f>
        <v/>
      </c>
      <c r="S175" s="2402">
        <f>R175-P175</f>
        <v/>
      </c>
      <c r="T175" s="2362" t="n"/>
      <c r="U175" s="2362" t="n"/>
      <c r="V175" s="2362" t="n"/>
      <c r="W175" s="2362" t="n"/>
      <c r="X175" s="2362" t="n"/>
      <c r="Y175" s="2362" t="n"/>
      <c r="Z175" s="2362" t="n"/>
      <c r="AA175" s="2362" t="n"/>
      <c r="AB175" s="2362" t="n"/>
      <c r="AC175" s="2362" t="n"/>
      <c r="AD175" s="2362" t="n"/>
      <c r="AE175" s="2362" t="n"/>
    </row>
    <row customHeight="1" ht="15.75" r="176" s="1843" spans="1:57">
      <c r="A176" s="2403" t="n">
        <v>12272</v>
      </c>
      <c r="B176" s="66" t="n"/>
      <c r="C176" s="2379" t="s">
        <v>189</v>
      </c>
      <c r="D176" s="1380">
        <f>CFG!E115</f>
        <v/>
      </c>
      <c r="E176" s="1380">
        <f>CFG!F115</f>
        <v/>
      </c>
      <c r="F176" s="1380">
        <f>CFG!G115</f>
        <v/>
      </c>
      <c r="G176" s="1380">
        <f>CFG!H115</f>
        <v/>
      </c>
      <c r="H176" s="1380">
        <f>CFG!I115</f>
        <v/>
      </c>
      <c r="I176" s="1380">
        <f>CFG!J115</f>
        <v/>
      </c>
      <c r="J176" s="1380">
        <f>CFG!K115</f>
        <v/>
      </c>
      <c r="K176" s="1380">
        <f>CFG!L115</f>
        <v/>
      </c>
      <c r="L176" s="1380">
        <f>CFG!M115</f>
        <v/>
      </c>
      <c r="M176" s="1380">
        <f>CFG!N115</f>
        <v/>
      </c>
      <c r="N176" s="1380">
        <f>CFG!O115</f>
        <v/>
      </c>
      <c r="O176" s="1380">
        <f>CFG!P115</f>
        <v/>
      </c>
      <c r="P176" s="1179">
        <f>SUM(D176:O176)</f>
        <v/>
      </c>
      <c r="Q176" s="2377" t="n"/>
      <c r="R176" s="2428">
        <f>SUM(P210,P245,P279,P313,P451)</f>
        <v/>
      </c>
      <c r="S176" s="2402">
        <f>R176-P176</f>
        <v/>
      </c>
      <c r="T176" s="2362" t="n"/>
      <c r="U176" s="2362" t="n"/>
      <c r="V176" s="2362" t="n"/>
      <c r="W176" s="2362" t="n"/>
      <c r="X176" s="2362" t="n"/>
      <c r="Y176" s="2362" t="n"/>
      <c r="Z176" s="2362" t="n"/>
      <c r="AA176" s="2362" t="n"/>
      <c r="AB176" s="2362" t="n"/>
      <c r="AC176" s="2362" t="n"/>
      <c r="AD176" s="2362" t="n"/>
      <c r="AE176" s="2362" t="n"/>
    </row>
    <row customHeight="1" ht="15.75" r="177" s="1843" spans="1:57">
      <c r="A177" s="2403" t="s">
        <v>94</v>
      </c>
      <c r="B177" s="66" t="n"/>
      <c r="C177" s="2379" t="s">
        <v>212</v>
      </c>
      <c r="D177" s="1380">
        <f>CFG!E395</f>
        <v/>
      </c>
      <c r="E177" s="1380">
        <f>CFG!F395</f>
        <v/>
      </c>
      <c r="F177" s="1380">
        <f>CFG!G395</f>
        <v/>
      </c>
      <c r="G177" s="1380">
        <f>CFG!H395</f>
        <v/>
      </c>
      <c r="H177" s="1380">
        <f>CFG!I395</f>
        <v/>
      </c>
      <c r="I177" s="1380">
        <f>CFG!J395</f>
        <v/>
      </c>
      <c r="J177" s="1380">
        <f>CFG!K395</f>
        <v/>
      </c>
      <c r="K177" s="1380">
        <f>CFG!L395</f>
        <v/>
      </c>
      <c r="L177" s="1380">
        <f>CFG!M395</f>
        <v/>
      </c>
      <c r="M177" s="1380">
        <f>CFG!N395</f>
        <v/>
      </c>
      <c r="N177" s="1380">
        <f>CFG!O395</f>
        <v/>
      </c>
      <c r="O177" s="1380">
        <f>CFG!P395</f>
        <v/>
      </c>
      <c r="P177" s="1179">
        <f>SUM(D177:O177)</f>
        <v/>
      </c>
      <c r="Q177" s="2377" t="n"/>
      <c r="R177" s="2428">
        <f>SUM(P211,P246,P280,P314)</f>
        <v/>
      </c>
      <c r="S177" s="2402">
        <f>R177-P177</f>
        <v/>
      </c>
      <c r="T177" s="2362" t="n"/>
      <c r="U177" s="2362" t="n"/>
      <c r="V177" s="2362" t="n"/>
      <c r="W177" s="2362" t="n"/>
      <c r="X177" s="2362" t="n"/>
      <c r="Y177" s="2362" t="n"/>
      <c r="Z177" s="2362" t="n"/>
      <c r="AA177" s="2362" t="n"/>
      <c r="AB177" s="2362" t="n"/>
      <c r="AC177" s="2362" t="n"/>
      <c r="AD177" s="2362" t="n"/>
      <c r="AE177" s="2362" t="n"/>
    </row>
    <row customHeight="1" ht="14.25" r="178" s="1843" spans="1:57">
      <c r="A178" s="2381" t="n"/>
      <c r="B178" s="66" t="n"/>
      <c r="C178" s="2379" t="s">
        <v>191</v>
      </c>
      <c r="D178" s="1380">
        <f>CFG!E117</f>
        <v/>
      </c>
      <c r="E178" s="1380">
        <f>CFG!F117</f>
        <v/>
      </c>
      <c r="F178" s="1380">
        <f>CFG!G117</f>
        <v/>
      </c>
      <c r="G178" s="1380">
        <f>CFG!H117</f>
        <v/>
      </c>
      <c r="H178" s="1380">
        <f>CFG!I117</f>
        <v/>
      </c>
      <c r="I178" s="1380">
        <f>CFG!J117</f>
        <v/>
      </c>
      <c r="J178" s="1380">
        <f>CFG!K117</f>
        <v/>
      </c>
      <c r="K178" s="1380">
        <f>CFG!L117</f>
        <v/>
      </c>
      <c r="L178" s="1380">
        <f>CFG!M117</f>
        <v/>
      </c>
      <c r="M178" s="1380">
        <f>CFG!N117</f>
        <v/>
      </c>
      <c r="N178" s="1380">
        <f>CFG!O117</f>
        <v/>
      </c>
      <c r="O178" s="1380">
        <f>CFG!P117</f>
        <v/>
      </c>
      <c r="P178" s="1179">
        <f>SUM(D178:O178)</f>
        <v/>
      </c>
      <c r="Q178" s="2377" t="n"/>
      <c r="R178" s="2428">
        <f>SUM(P212,P247,P281,P315)</f>
        <v/>
      </c>
      <c r="S178" s="2402">
        <f>R178-P178</f>
        <v/>
      </c>
      <c r="T178" s="2362" t="n"/>
      <c r="U178" s="2362" t="n"/>
      <c r="V178" s="2362" t="n"/>
      <c r="W178" s="2362" t="n"/>
      <c r="X178" s="2362" t="n"/>
      <c r="Y178" s="2362" t="n"/>
      <c r="Z178" s="2362" t="n"/>
      <c r="AA178" s="2362" t="n"/>
      <c r="AB178" s="2362" t="n"/>
      <c r="AC178" s="2362" t="n"/>
      <c r="AD178" s="2362" t="n"/>
      <c r="AE178" s="2362" t="n"/>
    </row>
    <row customHeight="1" ht="15.75" r="179" s="1843" spans="1:57">
      <c r="A179" s="2375" t="n"/>
      <c r="B179" s="66" t="n"/>
      <c r="C179" s="2379" t="s">
        <v>192</v>
      </c>
      <c r="D179" s="1380">
        <f>CFG!E118</f>
        <v/>
      </c>
      <c r="E179" s="1380">
        <f>CFG!F118</f>
        <v/>
      </c>
      <c r="F179" s="1380">
        <f>CFG!G118</f>
        <v/>
      </c>
      <c r="G179" s="1380">
        <f>CFG!H118</f>
        <v/>
      </c>
      <c r="H179" s="1380">
        <f>CFG!I118</f>
        <v/>
      </c>
      <c r="I179" s="1380">
        <f>CFG!J118</f>
        <v/>
      </c>
      <c r="J179" s="1380">
        <f>CFG!K118</f>
        <v/>
      </c>
      <c r="K179" s="1380">
        <f>CFG!L118</f>
        <v/>
      </c>
      <c r="L179" s="1380">
        <f>CFG!M118</f>
        <v/>
      </c>
      <c r="M179" s="1380">
        <f>CFG!N118</f>
        <v/>
      </c>
      <c r="N179" s="1380">
        <f>CFG!O118</f>
        <v/>
      </c>
      <c r="O179" s="1380">
        <f>CFG!P118</f>
        <v/>
      </c>
      <c r="P179" s="1179">
        <f>SUM(D179:O179)</f>
        <v/>
      </c>
      <c r="Q179" s="2377" t="n"/>
      <c r="R179" s="2428">
        <f>SUM(P213,P248,P282,P316)</f>
        <v/>
      </c>
      <c r="S179" s="2402">
        <f>R179-P179</f>
        <v/>
      </c>
      <c r="T179" s="2362" t="n"/>
      <c r="U179" s="2362" t="n"/>
      <c r="V179" s="2362" t="n"/>
      <c r="W179" s="2362" t="n"/>
      <c r="X179" s="2362" t="n"/>
      <c r="Y179" s="2362" t="n"/>
      <c r="Z179" s="2362" t="n"/>
      <c r="AA179" s="2362" t="n"/>
      <c r="AB179" s="2362" t="n"/>
      <c r="AC179" s="2362" t="n"/>
      <c r="AD179" s="2362" t="n"/>
      <c r="AE179" s="2362" t="n"/>
    </row>
    <row customHeight="1" ht="14.25" r="180" s="1843" spans="1:57">
      <c r="A180" s="2404" t="n"/>
      <c r="B180" s="66" t="n"/>
      <c r="C180" s="2379" t="s">
        <v>213</v>
      </c>
      <c r="D180" s="1380">
        <f>CFG!E120-'OS&amp;Travel Exp'!U58</f>
        <v/>
      </c>
      <c r="E180" s="1380">
        <f>CFG!F120-'OS&amp;Travel Exp'!V58</f>
        <v/>
      </c>
      <c r="F180" s="1380">
        <f>CFG!G120-'OS&amp;Travel Exp'!W58</f>
        <v/>
      </c>
      <c r="G180" s="1380">
        <f>CFG!H120-'OS&amp;Travel Exp'!X58</f>
        <v/>
      </c>
      <c r="H180" s="1380">
        <f>CFG!I120-'OS&amp;Travel Exp'!Y58</f>
        <v/>
      </c>
      <c r="I180" s="1380">
        <f>CFG!J120-'OS&amp;Travel Exp'!Z58</f>
        <v/>
      </c>
      <c r="J180" s="1380">
        <f>CFG!K120-'OS&amp;Travel Exp'!AA58</f>
        <v/>
      </c>
      <c r="K180" s="1380">
        <f>CFG!L120-'OS&amp;Travel Exp'!AB58</f>
        <v/>
      </c>
      <c r="L180" s="1380">
        <f>CFG!M120-'OS&amp;Travel Exp'!AC58</f>
        <v/>
      </c>
      <c r="M180" s="1380">
        <f>CFG!N120-'OS&amp;Travel Exp'!AD58</f>
        <v/>
      </c>
      <c r="N180" s="1380">
        <f>CFG!O120-'OS&amp;Travel Exp'!AE58</f>
        <v/>
      </c>
      <c r="O180" s="1380">
        <f>CFG!P120-'OS&amp;Travel Exp'!AF58</f>
        <v/>
      </c>
      <c r="P180" s="1180">
        <f>SUM(D180:O180)</f>
        <v/>
      </c>
      <c r="Q180" s="2377" t="n"/>
      <c r="R180" s="2428">
        <f>SUM(P214,P249,P283,P317)</f>
        <v/>
      </c>
      <c r="S180" s="2402">
        <f>R180-P180</f>
        <v/>
      </c>
      <c r="T180" s="2362" t="n"/>
      <c r="U180" s="2362" t="n"/>
      <c r="V180" s="2362" t="n"/>
      <c r="W180" s="2362" t="n"/>
      <c r="X180" s="2362" t="n"/>
      <c r="Y180" s="2362" t="n"/>
      <c r="Z180" s="2362" t="n"/>
      <c r="AA180" s="2362" t="n"/>
      <c r="AB180" s="2362" t="n"/>
      <c r="AC180" s="2362" t="n"/>
      <c r="AD180" s="2362" t="n"/>
      <c r="AE180" s="2362" t="n"/>
    </row>
    <row customHeight="1" ht="14.25" r="181" s="1843" spans="1:57">
      <c r="A181" s="2381" t="n"/>
      <c r="B181" s="123" t="n"/>
      <c r="C181" s="2405" t="s">
        <v>195</v>
      </c>
      <c r="D181" s="1175">
        <f>SUM(CFG!E121:E124)</f>
        <v/>
      </c>
      <c r="E181" s="1175">
        <f>SUM(CFG!F121:F124)</f>
        <v/>
      </c>
      <c r="F181" s="1175">
        <f>SUM(CFG!G121:G124)</f>
        <v/>
      </c>
      <c r="G181" s="1175">
        <f>SUM(CFG!H121:H124)</f>
        <v/>
      </c>
      <c r="H181" s="1175">
        <f>SUM(CFG!I121:I124)</f>
        <v/>
      </c>
      <c r="I181" s="1175">
        <f>SUM(CFG!J121:J124)</f>
        <v/>
      </c>
      <c r="J181" s="1175">
        <f>SUM(CFG!K121:K124)</f>
        <v/>
      </c>
      <c r="K181" s="1175">
        <f>SUM(CFG!L121:L124)</f>
        <v/>
      </c>
      <c r="L181" s="1175">
        <f>SUM(CFG!M121:M124)</f>
        <v/>
      </c>
      <c r="M181" s="1175">
        <f>SUM(CFG!N121:N124)</f>
        <v/>
      </c>
      <c r="N181" s="1175">
        <f>SUM(CFG!O121:O124)</f>
        <v/>
      </c>
      <c r="O181" s="1175">
        <f>SUM(CFG!P121:P124)</f>
        <v/>
      </c>
      <c r="P181" s="1176">
        <f>SUM(D181:O181)</f>
        <v/>
      </c>
      <c r="Q181" s="2377" t="n"/>
      <c r="R181" s="2428">
        <f>SUM(P215,P250,P284,P318)</f>
        <v/>
      </c>
      <c r="S181" s="2402">
        <f>R181-P181</f>
        <v/>
      </c>
      <c r="T181" s="2362" t="n"/>
      <c r="U181" s="2362" t="n"/>
      <c r="V181" s="2362" t="n"/>
      <c r="W181" s="2362" t="n"/>
      <c r="X181" s="2362" t="n"/>
      <c r="Y181" s="2362" t="n"/>
      <c r="Z181" s="2362" t="n"/>
      <c r="AA181" s="2362" t="n"/>
      <c r="AB181" s="2362" t="n"/>
      <c r="AC181" s="2362" t="n"/>
      <c r="AD181" s="2362" t="n"/>
      <c r="AE181" s="2362" t="n"/>
    </row>
    <row customHeight="1" ht="14.25" r="182" s="1843" spans="1:57">
      <c r="A182" s="2381" t="n"/>
      <c r="B182" s="70" t="s">
        <v>214</v>
      </c>
      <c r="C182" s="2406" t="n"/>
      <c r="D182" s="1062">
        <f>SUM(D175:D181)</f>
        <v/>
      </c>
      <c r="E182" s="1062">
        <f>SUM(E175:E181)</f>
        <v/>
      </c>
      <c r="F182" s="73">
        <f>SUM(F175:F181)</f>
        <v/>
      </c>
      <c r="G182" s="73">
        <f>SUM(G175:G181)</f>
        <v/>
      </c>
      <c r="H182" s="73">
        <f>SUM(H175:H181)</f>
        <v/>
      </c>
      <c r="I182" s="73">
        <f>SUM(I175:I181)</f>
        <v/>
      </c>
      <c r="J182" s="73">
        <f>SUM(J175:J181)</f>
        <v/>
      </c>
      <c r="K182" s="73">
        <f>SUM(K175:K181)</f>
        <v/>
      </c>
      <c r="L182" s="73">
        <f>SUM(L175:L181)</f>
        <v/>
      </c>
      <c r="M182" s="73">
        <f>SUM(M175:M181)</f>
        <v/>
      </c>
      <c r="N182" s="73">
        <f>SUM(N175:N181)</f>
        <v/>
      </c>
      <c r="O182" s="73">
        <f>SUM(O175:O181)</f>
        <v/>
      </c>
      <c r="P182" s="76">
        <f>SUM(D182:O182)</f>
        <v/>
      </c>
      <c r="Q182" s="2377" t="n"/>
      <c r="R182" s="2362" t="n"/>
      <c r="S182" s="2362" t="n"/>
      <c r="T182" s="2362" t="n"/>
      <c r="U182" s="2362" t="n"/>
      <c r="V182" s="2362" t="n"/>
      <c r="W182" s="2362" t="n"/>
      <c r="X182" s="2362" t="n"/>
      <c r="Y182" s="2362" t="n"/>
      <c r="Z182" s="2362" t="n"/>
      <c r="AA182" s="2362" t="n"/>
      <c r="AB182" s="2362" t="n"/>
      <c r="AC182" s="2362" t="n"/>
      <c r="AD182" s="2362" t="n"/>
      <c r="AE182" s="2362" t="n"/>
    </row>
    <row customHeight="1" ht="14.25" r="183" s="1843" spans="1:57">
      <c r="A183" s="2381" t="n"/>
      <c r="B183" s="66" t="n"/>
      <c r="C183" s="2386" t="s">
        <v>161</v>
      </c>
      <c r="D183" s="962">
        <f>CFG!E129</f>
        <v/>
      </c>
      <c r="E183" s="962">
        <f>CFG!F129</f>
        <v/>
      </c>
      <c r="F183" s="962">
        <f>CFG!G129</f>
        <v/>
      </c>
      <c r="G183" s="962">
        <f>CFG!H129</f>
        <v/>
      </c>
      <c r="H183" s="962">
        <f>CFG!I129</f>
        <v/>
      </c>
      <c r="I183" s="962">
        <f>CFG!J129</f>
        <v/>
      </c>
      <c r="J183" s="962">
        <f>CFG!K129</f>
        <v/>
      </c>
      <c r="K183" s="962">
        <f>CFG!L129</f>
        <v/>
      </c>
      <c r="L183" s="962">
        <f>CFG!M129</f>
        <v/>
      </c>
      <c r="M183" s="962">
        <f>CFG!N129</f>
        <v/>
      </c>
      <c r="N183" s="962">
        <f>CFG!O129</f>
        <v/>
      </c>
      <c r="O183" s="962">
        <f>CFG!P129</f>
        <v/>
      </c>
      <c r="P183" s="85">
        <f>SUM(D183:O183)</f>
        <v/>
      </c>
      <c r="Q183" s="2377" t="n"/>
      <c r="R183" s="2428">
        <f>SUM(P217,P252,P286,P320)</f>
        <v/>
      </c>
      <c r="S183" s="2377">
        <f>R183-P183</f>
        <v/>
      </c>
      <c r="T183" s="2362" t="n"/>
      <c r="U183" s="2362" t="n"/>
      <c r="V183" s="2362" t="n"/>
      <c r="W183" s="2362" t="n"/>
      <c r="X183" s="2362" t="n"/>
      <c r="Y183" s="2362" t="n"/>
      <c r="Z183" s="2362" t="n"/>
      <c r="AA183" s="2362" t="n"/>
      <c r="AB183" s="2362" t="n"/>
      <c r="AC183" s="2362" t="n"/>
      <c r="AD183" s="2362" t="n"/>
      <c r="AE183" s="2362" t="n"/>
    </row>
    <row customHeight="1" ht="14.25" r="184" s="1843" spans="1:57">
      <c r="A184" s="2429" t="n"/>
      <c r="B184" s="123" t="n"/>
      <c r="C184" s="2385" t="s">
        <v>215</v>
      </c>
      <c r="D184" s="87">
        <f>CFG!E130</f>
        <v/>
      </c>
      <c r="E184" s="87">
        <f>CFG!F130</f>
        <v/>
      </c>
      <c r="F184" s="87">
        <f>CFG!G130</f>
        <v/>
      </c>
      <c r="G184" s="87">
        <f>CFG!H130</f>
        <v/>
      </c>
      <c r="H184" s="87">
        <f>CFG!I130</f>
        <v/>
      </c>
      <c r="I184" s="87">
        <f>CFG!J130</f>
        <v/>
      </c>
      <c r="J184" s="87">
        <f>CFG!K130</f>
        <v/>
      </c>
      <c r="K184" s="87">
        <f>CFG!L130</f>
        <v/>
      </c>
      <c r="L184" s="87">
        <f>CFG!M130</f>
        <v/>
      </c>
      <c r="M184" s="87">
        <f>CFG!N130</f>
        <v/>
      </c>
      <c r="N184" s="87">
        <f>CFG!O130</f>
        <v/>
      </c>
      <c r="O184" s="87">
        <f>CFG!P130</f>
        <v/>
      </c>
      <c r="P184" s="85">
        <f>SUM(D184:O184)</f>
        <v/>
      </c>
      <c r="Q184" s="2377" t="n"/>
      <c r="R184" s="2428">
        <f>SUM(P218,P253,P287,P321)</f>
        <v/>
      </c>
      <c r="S184" s="2377">
        <f>R184-P184</f>
        <v/>
      </c>
      <c r="T184" s="2362" t="n"/>
      <c r="U184" s="2362" t="n"/>
      <c r="V184" s="2362" t="n"/>
      <c r="W184" s="2362" t="n"/>
      <c r="X184" s="2362" t="n"/>
      <c r="Y184" s="2362" t="n"/>
      <c r="Z184" s="2362" t="n"/>
      <c r="AA184" s="2362" t="n"/>
      <c r="AB184" s="2362" t="n"/>
      <c r="AC184" s="2362" t="n"/>
      <c r="AD184" s="2362" t="n"/>
      <c r="AE184" s="2362" t="n"/>
    </row>
    <row customHeight="1" ht="15.75" r="185" s="1843" spans="1:57">
      <c r="A185" s="2430" t="s">
        <v>223</v>
      </c>
      <c r="B185" s="1171" t="n"/>
      <c r="C185" s="2386" t="s">
        <v>197</v>
      </c>
      <c r="D185" s="962">
        <f>CFG!E374</f>
        <v/>
      </c>
      <c r="E185" s="962">
        <f>CFG!F374</f>
        <v/>
      </c>
      <c r="F185" s="962">
        <f>CFG!G374</f>
        <v/>
      </c>
      <c r="G185" s="962">
        <f>CFG!H374</f>
        <v/>
      </c>
      <c r="H185" s="962">
        <f>CFG!I374</f>
        <v/>
      </c>
      <c r="I185" s="962">
        <f>CFG!J374</f>
        <v/>
      </c>
      <c r="J185" s="962">
        <f>CFG!K374</f>
        <v/>
      </c>
      <c r="K185" s="962">
        <f>CFG!L374</f>
        <v/>
      </c>
      <c r="L185" s="962">
        <f>CFG!M374</f>
        <v/>
      </c>
      <c r="M185" s="962">
        <f>CFG!N374</f>
        <v/>
      </c>
      <c r="N185" s="962">
        <f>CFG!O374</f>
        <v/>
      </c>
      <c r="O185" s="962">
        <f>CFG!P374</f>
        <v/>
      </c>
      <c r="P185" s="85">
        <f>SUM(D185:O185)</f>
        <v/>
      </c>
      <c r="Q185" s="2377" t="n"/>
      <c r="R185" s="2428">
        <f>SUM(P219,P254,P288,P322)</f>
        <v/>
      </c>
      <c r="S185" s="2377">
        <f>R185-P185</f>
        <v/>
      </c>
      <c r="T185" s="2362" t="n"/>
      <c r="U185" s="2362" t="n"/>
      <c r="V185" s="2362" t="n"/>
      <c r="W185" s="2362" t="n"/>
      <c r="X185" s="2362" t="n"/>
      <c r="Y185" s="2362" t="n"/>
      <c r="Z185" s="2362" t="n"/>
      <c r="AA185" s="2362" t="n"/>
      <c r="AB185" s="2362" t="n"/>
      <c r="AC185" s="2362" t="n"/>
      <c r="AD185" s="2362" t="n"/>
      <c r="AE185" s="2362" t="n"/>
    </row>
    <row customHeight="1" ht="15.75" r="186" s="1843" spans="1:57">
      <c r="A186" s="2430" t="s">
        <v>224</v>
      </c>
      <c r="B186" s="123" t="n"/>
      <c r="C186" s="2386" t="s">
        <v>198</v>
      </c>
      <c r="D186" s="962">
        <f>CFG!E478</f>
        <v/>
      </c>
      <c r="E186" s="962">
        <f>CFG!F478</f>
        <v/>
      </c>
      <c r="F186" s="962">
        <f>CFG!G478</f>
        <v/>
      </c>
      <c r="G186" s="962">
        <f>CFG!H478</f>
        <v/>
      </c>
      <c r="H186" s="962">
        <f>CFG!I478</f>
        <v/>
      </c>
      <c r="I186" s="962">
        <f>CFG!J478</f>
        <v/>
      </c>
      <c r="J186" s="962">
        <f>CFG!K478</f>
        <v/>
      </c>
      <c r="K186" s="962">
        <f>CFG!L478</f>
        <v/>
      </c>
      <c r="L186" s="962">
        <f>CFG!M478</f>
        <v/>
      </c>
      <c r="M186" s="962">
        <f>CFG!N478</f>
        <v/>
      </c>
      <c r="N186" s="962">
        <f>CFG!O478</f>
        <v/>
      </c>
      <c r="O186" s="962">
        <f>CFG!P478</f>
        <v/>
      </c>
      <c r="P186" s="85">
        <f>SUM(D186:O186)</f>
        <v/>
      </c>
      <c r="Q186" s="2377" t="n"/>
      <c r="R186" s="2428">
        <f>SUM(P220,P255,P289,P323)</f>
        <v/>
      </c>
      <c r="S186" s="2377">
        <f>R186-P186</f>
        <v/>
      </c>
      <c r="T186" s="2362" t="n"/>
      <c r="U186" s="2362" t="n"/>
      <c r="V186" s="2362" t="n"/>
      <c r="W186" s="2362" t="n"/>
      <c r="X186" s="2362" t="n"/>
      <c r="Y186" s="2362" t="n"/>
      <c r="Z186" s="2362" t="n"/>
      <c r="AA186" s="2362" t="n"/>
      <c r="AB186" s="2362" t="n"/>
      <c r="AC186" s="2362" t="n"/>
      <c r="AD186" s="2362" t="n"/>
      <c r="AE186" s="2362" t="n"/>
    </row>
    <row customHeight="1" ht="15.75" r="187" s="1843" spans="1:57">
      <c r="A187" s="2430" t="n"/>
      <c r="B187" s="123" t="n"/>
      <c r="C187" s="2385" t="s">
        <v>199</v>
      </c>
      <c r="D187" s="87">
        <f>CFG!E460*2/3</f>
        <v/>
      </c>
      <c r="E187" s="87">
        <f>CFG!F460*2/3</f>
        <v/>
      </c>
      <c r="F187" s="87">
        <f>CFG!G460*2/3</f>
        <v/>
      </c>
      <c r="G187" s="87">
        <f>CFG!H460*2/3</f>
        <v/>
      </c>
      <c r="H187" s="87">
        <f>CFG!I460*2/3</f>
        <v/>
      </c>
      <c r="I187" s="87">
        <f>CFG!J460*2/3</f>
        <v/>
      </c>
      <c r="J187" s="87">
        <f>CFG!K460*2/3</f>
        <v/>
      </c>
      <c r="K187" s="87">
        <f>CFG!L460*2/3</f>
        <v/>
      </c>
      <c r="L187" s="87">
        <f>CFG!M460*2/3</f>
        <v/>
      </c>
      <c r="M187" s="87">
        <f>CFG!N460*2/3</f>
        <v/>
      </c>
      <c r="N187" s="87">
        <f>CFG!O460*2/3</f>
        <v/>
      </c>
      <c r="O187" s="87">
        <f>CFG!P460*2/3</f>
        <v/>
      </c>
      <c r="P187" s="85">
        <f>SUM(D187:O187)</f>
        <v/>
      </c>
      <c r="Q187" s="2377" t="n"/>
      <c r="R187" s="2428">
        <f>SUM(P221,P256,P290,P324)</f>
        <v/>
      </c>
      <c r="S187" s="2377">
        <f>R187-P187</f>
        <v/>
      </c>
      <c r="T187" s="2362" t="n"/>
      <c r="U187" s="2362" t="n"/>
      <c r="V187" s="2362" t="n"/>
      <c r="W187" s="2362" t="n"/>
      <c r="X187" s="2362" t="n"/>
      <c r="Y187" s="2362" t="n"/>
      <c r="Z187" s="2362" t="n"/>
      <c r="AA187" s="2362" t="n"/>
      <c r="AB187" s="2362" t="n"/>
      <c r="AC187" s="2362" t="n"/>
      <c r="AD187" s="2362" t="n"/>
      <c r="AE187" s="2362" t="n"/>
    </row>
    <row customHeight="1" ht="14.25" r="188" s="1843" spans="1:57">
      <c r="A188" s="2407" t="n"/>
      <c r="B188" s="123" t="n"/>
      <c r="C188" s="2385" t="s">
        <v>200</v>
      </c>
      <c r="D188" s="962">
        <f>CFG!E400</f>
        <v/>
      </c>
      <c r="E188" s="962">
        <f>CFG!F400</f>
        <v/>
      </c>
      <c r="F188" s="962">
        <f>CFG!G400</f>
        <v/>
      </c>
      <c r="G188" s="962">
        <f>CFG!H400</f>
        <v/>
      </c>
      <c r="H188" s="962">
        <f>CFG!I400</f>
        <v/>
      </c>
      <c r="I188" s="962">
        <f>CFG!J400</f>
        <v/>
      </c>
      <c r="J188" s="962">
        <f>CFG!K400</f>
        <v/>
      </c>
      <c r="K188" s="962">
        <f>CFG!L400</f>
        <v/>
      </c>
      <c r="L188" s="962">
        <f>CFG!M400</f>
        <v/>
      </c>
      <c r="M188" s="962">
        <f>CFG!N400</f>
        <v/>
      </c>
      <c r="N188" s="962">
        <f>CFG!O400</f>
        <v/>
      </c>
      <c r="O188" s="962">
        <f>CFG!P400</f>
        <v/>
      </c>
      <c r="P188" s="85">
        <f>SUM(D188:O188)</f>
        <v/>
      </c>
      <c r="Q188" s="2377" t="n"/>
      <c r="R188" s="2428">
        <f>SUM(P222,P257,P291,P325)</f>
        <v/>
      </c>
      <c r="S188" s="2377">
        <f>R188-P188</f>
        <v/>
      </c>
      <c r="T188" s="2362" t="n"/>
      <c r="U188" s="2362" t="n"/>
      <c r="V188" s="2362" t="n"/>
      <c r="W188" s="2362" t="n"/>
      <c r="X188" s="2362" t="n"/>
      <c r="Y188" s="2362" t="n"/>
      <c r="Z188" s="2362" t="n"/>
      <c r="AA188" s="2362" t="n"/>
      <c r="AB188" s="2362" t="n"/>
      <c r="AC188" s="2362" t="n"/>
      <c r="AD188" s="2362" t="n"/>
      <c r="AE188" s="2362" t="n"/>
    </row>
    <row customHeight="1" ht="14.25" r="189" s="1843" spans="1:57">
      <c r="A189" s="2408" t="n"/>
      <c r="B189" s="71" t="n"/>
      <c r="C189" s="2385" t="s">
        <v>201</v>
      </c>
      <c r="D189" s="962">
        <f>-CFG!E137</f>
        <v/>
      </c>
      <c r="E189" s="962">
        <f>-CFG!F137</f>
        <v/>
      </c>
      <c r="F189" s="962">
        <f>-CFG!G137</f>
        <v/>
      </c>
      <c r="G189" s="962">
        <f>-CFG!H137</f>
        <v/>
      </c>
      <c r="H189" s="962">
        <f>-CFG!I137</f>
        <v/>
      </c>
      <c r="I189" s="962">
        <f>-CFG!J137</f>
        <v/>
      </c>
      <c r="J189" s="962">
        <f>-CFG!K137</f>
        <v/>
      </c>
      <c r="K189" s="962">
        <f>-CFG!L137</f>
        <v/>
      </c>
      <c r="L189" s="962">
        <f>-CFG!M137</f>
        <v/>
      </c>
      <c r="M189" s="962">
        <f>-CFG!N137</f>
        <v/>
      </c>
      <c r="N189" s="962">
        <f>-CFG!O137</f>
        <v/>
      </c>
      <c r="O189" s="962">
        <f>-CFG!P137</f>
        <v/>
      </c>
      <c r="P189" s="122">
        <f>SUM(D189:O189)</f>
        <v/>
      </c>
      <c r="Q189" s="2377" t="n"/>
      <c r="R189" s="2428">
        <f>SUM(P223,P258,P292,P326)</f>
        <v/>
      </c>
      <c r="S189" s="2377">
        <f>R189-P189</f>
        <v/>
      </c>
      <c r="T189" s="2362" t="n"/>
      <c r="U189" s="2362" t="n"/>
      <c r="V189" s="2362" t="n"/>
      <c r="W189" s="2362" t="n"/>
      <c r="X189" s="2362" t="n"/>
      <c r="Y189" s="2362" t="n"/>
      <c r="Z189" s="2362" t="n"/>
      <c r="AA189" s="2362" t="n"/>
      <c r="AB189" s="2362" t="n"/>
      <c r="AC189" s="2362" t="n"/>
      <c r="AD189" s="2362" t="n"/>
      <c r="AE189" s="2362" t="n"/>
    </row>
    <row customHeight="1" ht="36.75" r="190" s="1843" spans="1:57">
      <c r="A190" s="2408" t="n"/>
      <c r="B190" s="1171" t="n"/>
      <c r="C190" s="2431" t="s">
        <v>202</v>
      </c>
      <c r="D190" s="962">
        <f>-CFG!E138</f>
        <v/>
      </c>
      <c r="E190" s="962">
        <f>-CFG!F138</f>
        <v/>
      </c>
      <c r="F190" s="962">
        <f>-CFG!G138</f>
        <v/>
      </c>
      <c r="G190" s="962">
        <f>-CFG!H138</f>
        <v/>
      </c>
      <c r="H190" s="962">
        <f>-CFG!I138</f>
        <v/>
      </c>
      <c r="I190" s="962">
        <f>-CFG!J138</f>
        <v/>
      </c>
      <c r="J190" s="962">
        <f>-CFG!K138</f>
        <v/>
      </c>
      <c r="K190" s="962">
        <f>-CFG!L138</f>
        <v/>
      </c>
      <c r="L190" s="962">
        <f>-CFG!M138</f>
        <v/>
      </c>
      <c r="M190" s="962">
        <f>-CFG!N138</f>
        <v/>
      </c>
      <c r="N190" s="962">
        <f>-CFG!O138</f>
        <v/>
      </c>
      <c r="O190" s="962">
        <f>-CFG!P138</f>
        <v/>
      </c>
      <c r="P190" s="122">
        <f>SUM(D190:O190)</f>
        <v/>
      </c>
      <c r="Q190" s="2377" t="n"/>
      <c r="R190" s="2428">
        <f>SUM(P224,P259,P293,P327)</f>
        <v/>
      </c>
      <c r="S190" s="2377">
        <f>R190-P190</f>
        <v/>
      </c>
      <c r="T190" s="2362" t="n"/>
      <c r="U190" s="2362" t="n"/>
      <c r="V190" s="2362" t="n"/>
      <c r="W190" s="2362" t="n"/>
      <c r="X190" s="2362" t="n"/>
      <c r="Y190" s="2362" t="n"/>
      <c r="Z190" s="2362" t="n"/>
      <c r="AA190" s="2362" t="n"/>
      <c r="AB190" s="2362" t="n"/>
      <c r="AC190" s="2362" t="n"/>
      <c r="AD190" s="2362" t="n"/>
      <c r="AE190" s="2362" t="n"/>
    </row>
    <row customHeight="1" ht="14.25" r="191" s="1843" spans="1:57">
      <c r="A191" s="2407" t="n"/>
      <c r="B191" s="139" t="n"/>
      <c r="C191" s="2409" t="s">
        <v>216</v>
      </c>
      <c r="D191" s="128">
        <f>D$19*SUM(D$198,D$203)/SUM(D$24,D$27:D$28)</f>
        <v/>
      </c>
      <c r="E191" s="128">
        <f>E$19*SUM(E$198,E$203)/SUM(E$24,E$27:E$28)</f>
        <v/>
      </c>
      <c r="F191" s="128">
        <f>F$19*SUM(F$198,F$203)/SUM(F$24,F$27:F$28)</f>
        <v/>
      </c>
      <c r="G191" s="128">
        <f>G$19*SUM(G$198,G$203)/SUM(G$24,G$27:G$28)</f>
        <v/>
      </c>
      <c r="H191" s="128">
        <f>H$19*SUM(H$198,H$203)/SUM(H$24,H$27:H$28)</f>
        <v/>
      </c>
      <c r="I191" s="128">
        <f>I$19*SUM(I$198,I$203)/SUM(I$24,I$27:I$28)</f>
        <v/>
      </c>
      <c r="J191" s="128">
        <f>J$19*SUM(J$198,J$203)/SUM(J$24,J$27:J$28)</f>
        <v/>
      </c>
      <c r="K191" s="128">
        <f>K$19*SUM(K$198,K$203)/SUM(K$24,K$27:K$28)</f>
        <v/>
      </c>
      <c r="L191" s="128">
        <f>L$19*SUM(L$198,L$203)/SUM(L$24,L$27:L$28)</f>
        <v/>
      </c>
      <c r="M191" s="128">
        <f>M$19*SUM(M$198,M$203)/SUM(M$24,M$27:M$28)</f>
        <v/>
      </c>
      <c r="N191" s="128">
        <f>N$19*SUM(N$198,N$203)/SUM(N$24,N$27:N$28)</f>
        <v/>
      </c>
      <c r="O191" s="128">
        <f>O$19*SUM(O$198,O$203)/SUM(O$24,O$27:O$28)</f>
        <v/>
      </c>
      <c r="P191" s="129">
        <f>SUM(D191:O191)</f>
        <v/>
      </c>
      <c r="Q191" s="2362" t="n"/>
      <c r="R191" s="2362" t="n"/>
      <c r="S191" s="2362" t="n"/>
      <c r="T191" s="2362" t="n"/>
      <c r="U191" s="2362" t="n"/>
      <c r="V191" s="2362" t="n"/>
      <c r="W191" s="2362" t="n"/>
      <c r="X191" s="2362" t="n"/>
      <c r="Y191" s="2362" t="n"/>
      <c r="Z191" s="2362" t="n"/>
      <c r="AA191" s="2362" t="n"/>
      <c r="AB191" s="2362" t="n"/>
      <c r="AC191" s="2362" t="n"/>
      <c r="AD191" s="2362" t="n"/>
      <c r="AE191" s="2362" t="n"/>
    </row>
    <row customHeight="1" ht="15" r="192" s="1843" spans="1:57" thickBot="1">
      <c r="A192" s="2407" t="n"/>
      <c r="B192" s="123" t="s">
        <v>217</v>
      </c>
      <c r="C192" s="2410" t="n"/>
      <c r="D192" s="2432">
        <f>SUM(D183:D191)</f>
        <v/>
      </c>
      <c r="E192" s="2432">
        <f>SUM(E183:E191)</f>
        <v/>
      </c>
      <c r="F192" s="2432">
        <f>SUM(F183:F191)</f>
        <v/>
      </c>
      <c r="G192" s="2432">
        <f>SUM(G183:G191)</f>
        <v/>
      </c>
      <c r="H192" s="2432">
        <f>SUM(H183:H191)</f>
        <v/>
      </c>
      <c r="I192" s="2432">
        <f>SUM(I183:I191)</f>
        <v/>
      </c>
      <c r="J192" s="2432">
        <f>SUM(J183:J191)</f>
        <v/>
      </c>
      <c r="K192" s="2432">
        <f>SUM(K183:K191)</f>
        <v/>
      </c>
      <c r="L192" s="2432">
        <f>SUM(L183:L191)</f>
        <v/>
      </c>
      <c r="M192" s="2432">
        <f>SUM(M183:M191)</f>
        <v/>
      </c>
      <c r="N192" s="2432">
        <f>SUM(N183:N191)</f>
        <v/>
      </c>
      <c r="O192" s="2432">
        <f>SUM(O183:O191)</f>
        <v/>
      </c>
      <c r="P192" s="2433">
        <f>SUM(D192:O192)</f>
        <v/>
      </c>
      <c r="Q192" s="2362" t="n"/>
      <c r="R192" s="2428">
        <f>SUM(CFG!Q114:Q118,CFG!Q120:Q124,CFG!Q128:Q130)-SUM(CFG!Q137:Q138)</f>
        <v/>
      </c>
      <c r="S192" s="2428">
        <f>SUM(P182,P192)-P187-R192</f>
        <v/>
      </c>
      <c r="T192" s="2362" t="n"/>
      <c r="U192" s="2362" t="n"/>
      <c r="V192" s="2362" t="n"/>
      <c r="W192" s="2362" t="n"/>
      <c r="X192" s="2362" t="n"/>
      <c r="Y192" s="2362" t="n"/>
      <c r="Z192" s="2362" t="n"/>
      <c r="AA192" s="2362" t="n"/>
      <c r="AB192" s="2362" t="n"/>
      <c r="AC192" s="2362" t="n"/>
      <c r="AD192" s="2362" t="n"/>
      <c r="AE192" s="2362" t="n"/>
    </row>
    <row customFormat="1" customHeight="1" ht="14.25" r="193" s="2362" spans="1:57">
      <c r="A193" s="2388" t="n"/>
      <c r="B193" s="2388" t="n"/>
      <c r="C193" s="2388" t="s">
        <v>218</v>
      </c>
      <c r="D193" s="1393">
        <f>SUM(D182,D192)</f>
        <v/>
      </c>
      <c r="E193" s="1393">
        <f>SUM(E182,E192)</f>
        <v/>
      </c>
      <c r="F193" s="1393">
        <f>SUM(F182,F192)</f>
        <v/>
      </c>
      <c r="G193" s="1393">
        <f>SUM(G182,G192)</f>
        <v/>
      </c>
      <c r="H193" s="1393">
        <f>SUM(H182,H192)</f>
        <v/>
      </c>
      <c r="I193" s="1393">
        <f>SUM(I182,I192)</f>
        <v/>
      </c>
      <c r="J193" s="1393">
        <f>SUM(J182,J192)</f>
        <v/>
      </c>
      <c r="K193" s="1393">
        <f>SUM(K182,K192)</f>
        <v/>
      </c>
      <c r="L193" s="1393">
        <f>SUM(L182,L192)</f>
        <v/>
      </c>
      <c r="M193" s="1393">
        <f>SUM(M182,M192)</f>
        <v/>
      </c>
      <c r="N193" s="1393">
        <f>SUM(N182,N192)</f>
        <v/>
      </c>
      <c r="O193" s="1393">
        <f>SUM(O182,O192)</f>
        <v/>
      </c>
      <c r="P193" s="89">
        <f>SUM(P182,P192)</f>
        <v/>
      </c>
      <c r="Q193" s="2377" t="n"/>
      <c r="R193" s="2411" t="n"/>
      <c r="S193" s="2412" t="n"/>
      <c r="T193" s="2362" t="n"/>
      <c r="U193" s="2362" t="n"/>
      <c r="V193" s="2362" t="n"/>
      <c r="W193" s="2362" t="n"/>
      <c r="X193" s="2362" t="n"/>
      <c r="Y193" s="2362" t="n"/>
      <c r="Z193" s="2362" t="n"/>
      <c r="AA193" s="2362" t="n"/>
      <c r="AB193" s="2362" t="n"/>
      <c r="AC193" s="2362" t="n"/>
      <c r="AD193" s="2362" t="n"/>
      <c r="AE193" s="2362" t="n"/>
    </row>
    <row customFormat="1" customHeight="1" ht="14.25" r="194" s="2362" spans="1:57">
      <c r="A194" s="2392" t="s">
        <v>203</v>
      </c>
      <c r="B194" s="2393" t="n"/>
      <c r="C194" s="2413" t="s">
        <v>204</v>
      </c>
      <c r="D194" s="1395">
        <f>SUM(D228,D263,D297,D331)</f>
        <v/>
      </c>
      <c r="E194" s="1395">
        <f>SUM(E228,E263,E297,E331)</f>
        <v/>
      </c>
      <c r="F194" s="1395">
        <f>SUM(F228,F263,F297,F331)</f>
        <v/>
      </c>
      <c r="G194" s="1395">
        <f>SUM(G228,G263,G297,G331)</f>
        <v/>
      </c>
      <c r="H194" s="1395">
        <f>SUM(H228,H263,H297,H331)</f>
        <v/>
      </c>
      <c r="I194" s="1395">
        <f>SUM(I228,I263,I297,I331)</f>
        <v/>
      </c>
      <c r="J194" s="1395">
        <f>SUM(J228,J263,J297,J331)</f>
        <v/>
      </c>
      <c r="K194" s="1395">
        <f>SUM(K228,K263,K297,K331)</f>
        <v/>
      </c>
      <c r="L194" s="1395">
        <f>SUM(L228,L263,L297,L331)</f>
        <v/>
      </c>
      <c r="M194" s="1395">
        <f>SUM(M228,M263,M297,M331)</f>
        <v/>
      </c>
      <c r="N194" s="1395">
        <f>SUM(N228,N263,N297,N331)</f>
        <v/>
      </c>
      <c r="O194" s="1395">
        <f>SUM(O228,O263,O297,O331)</f>
        <v/>
      </c>
      <c r="P194" s="1219">
        <f>SUM(D194:O194)</f>
        <v/>
      </c>
    </row>
    <row customFormat="1" customHeight="1" ht="14.25" r="195" s="2362" spans="1:57">
      <c r="B195" s="2395" t="n"/>
      <c r="C195" s="2399" t="s">
        <v>14</v>
      </c>
      <c r="D195" s="1395">
        <f>SUM(D229,D264,D298,D332)</f>
        <v/>
      </c>
      <c r="E195" s="1395">
        <f>SUM(E229,E264,E298,E332)</f>
        <v/>
      </c>
      <c r="F195" s="1395">
        <f>SUM(F229,F264,F298,F332)</f>
        <v/>
      </c>
      <c r="G195" s="1395">
        <f>SUM(G229,G264,G298,G332)</f>
        <v/>
      </c>
      <c r="H195" s="1395">
        <f>SUM(H229,H264,H298,H332)</f>
        <v/>
      </c>
      <c r="I195" s="1395">
        <f>SUM(I229,I264,I298,I332)</f>
        <v/>
      </c>
      <c r="J195" s="1395">
        <f>SUM(J229,J264,J298,J332)</f>
        <v/>
      </c>
      <c r="K195" s="1395">
        <f>SUM(K229,K264,K298,K332)</f>
        <v/>
      </c>
      <c r="L195" s="1395">
        <f>SUM(L229,L264,L298,L332)</f>
        <v/>
      </c>
      <c r="M195" s="1395">
        <f>SUM(M229,M264,M298,M332)</f>
        <v/>
      </c>
      <c r="N195" s="1395">
        <f>SUM(N229,N264,N298,N332)</f>
        <v/>
      </c>
      <c r="O195" s="1395">
        <f>SUM(O229,O264,O298,O332)</f>
        <v/>
      </c>
      <c r="P195" s="1221">
        <f>SUM(D195:O195)</f>
        <v/>
      </c>
    </row>
    <row customFormat="1" customHeight="1" ht="14.25" r="196" s="2362" spans="1:57">
      <c r="B196" s="2395" t="n"/>
      <c r="C196" s="2399" t="s">
        <v>15</v>
      </c>
      <c r="D196" s="1395">
        <f>SUM(D230,D265,D299,D333)</f>
        <v/>
      </c>
      <c r="E196" s="1395">
        <f>SUM(E230,E265,E299,E333)</f>
        <v/>
      </c>
      <c r="F196" s="1395">
        <f>SUM(F230,F265,F299,F333)</f>
        <v/>
      </c>
      <c r="G196" s="1395">
        <f>SUM(G230,G265,G299,G333)</f>
        <v/>
      </c>
      <c r="H196" s="1395">
        <f>SUM(H230,H265,H299,H333)</f>
        <v/>
      </c>
      <c r="I196" s="1395">
        <f>SUM(I230,I265,I299,I333)</f>
        <v/>
      </c>
      <c r="J196" s="1395">
        <f>SUM(J230,J265,J299,J333)</f>
        <v/>
      </c>
      <c r="K196" s="1395">
        <f>SUM(K230,K265,K299,K333)</f>
        <v/>
      </c>
      <c r="L196" s="1395">
        <f>SUM(L230,L265,L299,L333)</f>
        <v/>
      </c>
      <c r="M196" s="1395">
        <f>SUM(M230,M265,M299,M333)</f>
        <v/>
      </c>
      <c r="N196" s="1395">
        <f>SUM(N230,N265,N299,N333)</f>
        <v/>
      </c>
      <c r="O196" s="1395">
        <f>SUM(O230,O265,O299,O333)</f>
        <v/>
      </c>
      <c r="P196" s="1221">
        <f>SUM(D196:O196)</f>
        <v/>
      </c>
    </row>
    <row customFormat="1" customHeight="1" ht="14.25" r="197" s="2362" spans="1:57">
      <c r="B197" s="2395" t="n"/>
      <c r="C197" s="2399" t="s">
        <v>16</v>
      </c>
      <c r="D197" s="1395">
        <f>SUM(D231,D266,D300,D334)</f>
        <v/>
      </c>
      <c r="E197" s="1395">
        <f>SUM(E231,E266,E300,E334)</f>
        <v/>
      </c>
      <c r="F197" s="1395">
        <f>SUM(F231,F266,F300,F334)</f>
        <v/>
      </c>
      <c r="G197" s="1395">
        <f>SUM(G231,G266,G300,G334)</f>
        <v/>
      </c>
      <c r="H197" s="1395">
        <f>SUM(H231,H266,H300,H334)</f>
        <v/>
      </c>
      <c r="I197" s="1395">
        <f>SUM(I231,I266,I300,I334)</f>
        <v/>
      </c>
      <c r="J197" s="1395">
        <f>SUM(J231,J266,J300,J334)</f>
        <v/>
      </c>
      <c r="K197" s="1395">
        <f>SUM(K231,K266,K300,K334)</f>
        <v/>
      </c>
      <c r="L197" s="1395">
        <f>SUM(L231,L266,L300,L334)</f>
        <v/>
      </c>
      <c r="M197" s="1395">
        <f>SUM(M231,M266,M300,M334)</f>
        <v/>
      </c>
      <c r="N197" s="1395">
        <f>SUM(N231,N266,N300,N334)</f>
        <v/>
      </c>
      <c r="O197" s="1395">
        <f>SUM(O231,O266,O300,O334)</f>
        <v/>
      </c>
      <c r="P197" s="1221">
        <f>SUM(D197:O197)</f>
        <v/>
      </c>
    </row>
    <row customFormat="1" customHeight="1" ht="14.25" r="198" s="2362" spans="1:57">
      <c r="B198" s="2395" t="n"/>
      <c r="C198" s="2399" t="s">
        <v>205</v>
      </c>
      <c r="D198" s="192">
        <f>SUM(D194:D197)</f>
        <v/>
      </c>
      <c r="E198" s="192">
        <f>SUM(E194:E197)</f>
        <v/>
      </c>
      <c r="F198" s="192">
        <f>SUM(F194:F197)</f>
        <v/>
      </c>
      <c r="G198" s="192">
        <f>SUM(G194:G197)</f>
        <v/>
      </c>
      <c r="H198" s="192">
        <f>SUM(H194:H197)</f>
        <v/>
      </c>
      <c r="I198" s="192">
        <f>SUM(I194:I197)</f>
        <v/>
      </c>
      <c r="J198" s="192">
        <f>SUM(J194:J197)</f>
        <v/>
      </c>
      <c r="K198" s="192">
        <f>SUM(K194:K197)</f>
        <v/>
      </c>
      <c r="L198" s="192">
        <f>SUM(L194:L197)</f>
        <v/>
      </c>
      <c r="M198" s="192">
        <f>SUM(M194:M197)</f>
        <v/>
      </c>
      <c r="N198" s="192">
        <f>SUM(N194:N197)</f>
        <v/>
      </c>
      <c r="O198" s="192">
        <f>SUM(O194:O197)</f>
        <v/>
      </c>
      <c r="P198" s="1221">
        <f>SUM(P194:P197)</f>
        <v/>
      </c>
    </row>
    <row customHeight="1" ht="14.25" r="199" s="1843" spans="1:57">
      <c r="B199" s="2395" t="n"/>
      <c r="C199" s="2399" t="s">
        <v>206</v>
      </c>
      <c r="D199" s="1232" t="n">
        <v>2</v>
      </c>
      <c r="E199" s="1232" t="n">
        <v>2</v>
      </c>
      <c r="F199" s="1232" t="n">
        <v>2</v>
      </c>
      <c r="G199" s="1232" t="n">
        <v>2</v>
      </c>
      <c r="H199" s="1232" t="n">
        <v>2</v>
      </c>
      <c r="I199" s="1232" t="n">
        <v>2</v>
      </c>
      <c r="J199" s="1232" t="n">
        <v>1</v>
      </c>
      <c r="K199" s="1232" t="n">
        <v>1</v>
      </c>
      <c r="L199" s="1232" t="n">
        <v>1</v>
      </c>
      <c r="M199" s="1232" t="n">
        <v>1</v>
      </c>
      <c r="N199" s="1232" t="n">
        <v>1</v>
      </c>
      <c r="O199" s="1232" t="n">
        <v>1</v>
      </c>
      <c r="P199" s="1221">
        <f>SUM(D199:O199)</f>
        <v/>
      </c>
      <c r="R199" s="2362" t="n"/>
    </row>
    <row customHeight="1" ht="14.25" r="200" s="1843" spans="1:57">
      <c r="B200" s="2398" t="n"/>
      <c r="C200" s="2400" t="s">
        <v>207</v>
      </c>
      <c r="D200" s="1233">
        <f>D198-D199</f>
        <v/>
      </c>
      <c r="E200" s="1233">
        <f>E198-E199</f>
        <v/>
      </c>
      <c r="F200" s="1233">
        <f>F198-F199</f>
        <v/>
      </c>
      <c r="G200" s="1233">
        <f>G198-G199</f>
        <v/>
      </c>
      <c r="H200" s="1233">
        <f>H198-H199</f>
        <v/>
      </c>
      <c r="I200" s="1233">
        <f>I198-I199</f>
        <v/>
      </c>
      <c r="J200" s="1233">
        <f>J198-J199</f>
        <v/>
      </c>
      <c r="K200" s="1233">
        <f>K198-K199</f>
        <v/>
      </c>
      <c r="L200" s="1233">
        <f>L198-L199</f>
        <v/>
      </c>
      <c r="M200" s="1233">
        <f>M198-M199</f>
        <v/>
      </c>
      <c r="N200" s="1233">
        <f>N198-N199</f>
        <v/>
      </c>
      <c r="O200" s="1233">
        <f>O198-O199</f>
        <v/>
      </c>
      <c r="P200" s="1221">
        <f>SUM(P196:P199)</f>
        <v/>
      </c>
      <c r="R200" s="2362" t="n"/>
    </row>
    <row customHeight="1" ht="14.25" r="201" s="1843" spans="1:57">
      <c r="A201" s="2434" t="s">
        <v>157</v>
      </c>
      <c r="B201" s="2395" t="n"/>
      <c r="C201" s="2399" t="s">
        <v>208</v>
      </c>
      <c r="D201" s="1395">
        <f>SUM(D235,D270,D304,D338)</f>
        <v/>
      </c>
      <c r="E201" s="1395">
        <f>SUM(E235,E270,E304,E338)</f>
        <v/>
      </c>
      <c r="F201" s="1395">
        <f>SUM(F235,F270,F304,F338)</f>
        <v/>
      </c>
      <c r="G201" s="1395">
        <f>SUM(G235,G270,G304,G338)</f>
        <v/>
      </c>
      <c r="H201" s="1395">
        <f>SUM(H235,H270,H304,H338)</f>
        <v/>
      </c>
      <c r="I201" s="1395">
        <f>SUM(I235,I270,I304,I338)</f>
        <v/>
      </c>
      <c r="J201" s="1395">
        <f>SUM(J235,J270,J304,J338)</f>
        <v/>
      </c>
      <c r="K201" s="1395">
        <f>SUM(K235,K270,K304,K338)</f>
        <v/>
      </c>
      <c r="L201" s="1395">
        <f>SUM(L235,L270,L304,L338)</f>
        <v/>
      </c>
      <c r="M201" s="1395">
        <f>SUM(M235,M270,M304,M338)</f>
        <v/>
      </c>
      <c r="N201" s="1395">
        <f>SUM(N235,N270,N304,N338)</f>
        <v/>
      </c>
      <c r="O201" s="1395">
        <f>SUM(O235,O270,O304,O338)</f>
        <v/>
      </c>
      <c r="P201" s="1219">
        <f>SUM(D201:O201)</f>
        <v/>
      </c>
      <c r="R201" s="2362" t="n"/>
    </row>
    <row customHeight="1" ht="14.25" r="202" s="1843" spans="1:57">
      <c r="B202" s="2395" t="n"/>
      <c r="C202" s="2399" t="s">
        <v>209</v>
      </c>
      <c r="D202" s="1395">
        <f>SUM(D236,D271,D305,D339)</f>
        <v/>
      </c>
      <c r="E202" s="1395">
        <f>SUM(E236,E271,E305,E339)</f>
        <v/>
      </c>
      <c r="F202" s="1395">
        <f>SUM(F236,F271,F305,F339)</f>
        <v/>
      </c>
      <c r="G202" s="1395">
        <f>SUM(G236,G271,G305,G339)</f>
        <v/>
      </c>
      <c r="H202" s="1395">
        <f>SUM(H236,H271,H305,H339)</f>
        <v/>
      </c>
      <c r="I202" s="1395">
        <f>SUM(I236,I271,I305,I339)</f>
        <v/>
      </c>
      <c r="J202" s="1395">
        <f>SUM(J236,J271,J305,J339)</f>
        <v/>
      </c>
      <c r="K202" s="1395">
        <f>SUM(K236,K271,K305,K339)</f>
        <v/>
      </c>
      <c r="L202" s="1395">
        <f>SUM(L236,L271,L305,L339)</f>
        <v/>
      </c>
      <c r="M202" s="1395">
        <f>SUM(M236,M271,M305,M339)</f>
        <v/>
      </c>
      <c r="N202" s="1395">
        <f>SUM(N236,N271,N305,N339)</f>
        <v/>
      </c>
      <c r="O202" s="1395">
        <f>SUM(O236,O271,O305,O339)</f>
        <v/>
      </c>
      <c r="P202" s="1219">
        <f>SUM(D202:O202)</f>
        <v/>
      </c>
    </row>
    <row customFormat="1" customHeight="1" ht="14.25" r="203" s="2362" spans="1:57">
      <c r="B203" s="1324" t="n"/>
      <c r="C203" s="2399" t="s">
        <v>211</v>
      </c>
      <c r="D203" s="1232">
        <f>SUM(D202:D202)</f>
        <v/>
      </c>
      <c r="E203" s="1232">
        <f>SUM(E202:E202)</f>
        <v/>
      </c>
      <c r="F203" s="1232">
        <f>SUM(F202:F202)</f>
        <v/>
      </c>
      <c r="G203" s="1232">
        <f>SUM(G202:G202)</f>
        <v/>
      </c>
      <c r="H203" s="1232">
        <f>SUM(H202:H202)</f>
        <v/>
      </c>
      <c r="I203" s="1232">
        <f>SUM(I202:I202)</f>
        <v/>
      </c>
      <c r="J203" s="1232">
        <f>SUM(J202:J202)</f>
        <v/>
      </c>
      <c r="K203" s="1232">
        <f>SUM(K202:K202)</f>
        <v/>
      </c>
      <c r="L203" s="1232">
        <f>SUM(L202:L202)</f>
        <v/>
      </c>
      <c r="M203" s="1232">
        <f>SUM(M202:M202)</f>
        <v/>
      </c>
      <c r="N203" s="1232">
        <f>SUM(N202:N202)</f>
        <v/>
      </c>
      <c r="O203" s="1232">
        <f>SUM(O202:O202)</f>
        <v/>
      </c>
      <c r="P203" s="1221">
        <f>SUM(D203:O203)</f>
        <v/>
      </c>
    </row>
    <row customHeight="1" ht="14.25" r="204" s="1843" spans="1:57">
      <c r="A204" s="2416" t="s">
        <v>219</v>
      </c>
      <c r="B204" s="2417" t="n"/>
      <c r="C204" s="2418" t="s">
        <v>220</v>
      </c>
      <c r="D204" s="1278">
        <f>SUM(D199,D201)</f>
        <v/>
      </c>
      <c r="E204" s="1270">
        <f>SUM(E199,E201)</f>
        <v/>
      </c>
      <c r="F204" s="1270">
        <f>SUM(F199,F201)</f>
        <v/>
      </c>
      <c r="G204" s="1270">
        <f>SUM(G199,G201)</f>
        <v/>
      </c>
      <c r="H204" s="1270">
        <f>SUM(H199,H201)</f>
        <v/>
      </c>
      <c r="I204" s="1270">
        <f>SUM(I199,I201)</f>
        <v/>
      </c>
      <c r="J204" s="1270">
        <f>SUM(J199,J201)</f>
        <v/>
      </c>
      <c r="K204" s="1270">
        <f>SUM(K199,K201)</f>
        <v/>
      </c>
      <c r="L204" s="1270">
        <f>SUM(L199,L201)</f>
        <v/>
      </c>
      <c r="M204" s="1270">
        <f>SUM(M199,M201)</f>
        <v/>
      </c>
      <c r="N204" s="1270">
        <f>SUM(N199,N201)</f>
        <v/>
      </c>
      <c r="O204" s="1271">
        <f>SUM(O199,O201)</f>
        <v/>
      </c>
      <c r="P204" s="1221">
        <f>SUM(D204:O204)</f>
        <v/>
      </c>
      <c r="Q204" s="2362" t="n"/>
      <c r="R204" s="2362" t="n"/>
      <c r="S204" s="2362" t="n"/>
      <c r="T204" s="2362" t="n"/>
      <c r="U204" s="2362" t="n"/>
      <c r="V204" s="2362" t="n"/>
      <c r="W204" s="2362" t="n"/>
      <c r="X204" s="2362" t="n"/>
      <c r="Y204" s="2362" t="n"/>
      <c r="Z204" s="2362" t="n"/>
      <c r="AA204" s="2362" t="n"/>
      <c r="AB204" s="2362" t="n"/>
      <c r="AC204" s="2362" t="n"/>
      <c r="AD204" s="2362" t="n"/>
      <c r="AE204" s="2362" t="n"/>
    </row>
    <row customHeight="1" ht="14.25" r="205" s="1843" spans="1:57">
      <c r="B205" s="2419" t="n"/>
      <c r="C205" s="2420" t="s">
        <v>221</v>
      </c>
      <c r="D205" s="1279">
        <f>SUM(D200,D202)</f>
        <v/>
      </c>
      <c r="E205" s="140">
        <f>SUM(E200,E202)</f>
        <v/>
      </c>
      <c r="F205" s="140">
        <f>SUM(F200,F202)</f>
        <v/>
      </c>
      <c r="G205" s="140">
        <f>SUM(G200,G202)</f>
        <v/>
      </c>
      <c r="H205" s="140">
        <f>SUM(H200,H202)</f>
        <v/>
      </c>
      <c r="I205" s="140">
        <f>SUM(I200,I202)</f>
        <v/>
      </c>
      <c r="J205" s="140">
        <f>SUM(J200,J202)</f>
        <v/>
      </c>
      <c r="K205" s="140">
        <f>SUM(K200,K202)</f>
        <v/>
      </c>
      <c r="L205" s="140">
        <f>SUM(L200,L202)</f>
        <v/>
      </c>
      <c r="M205" s="140">
        <f>SUM(M200,M202)</f>
        <v/>
      </c>
      <c r="N205" s="140">
        <f>SUM(N200,N202)</f>
        <v/>
      </c>
      <c r="O205" s="1273">
        <f>SUM(O200,O202)</f>
        <v/>
      </c>
      <c r="P205" s="1221">
        <f>SUM(D205:O205)</f>
        <v/>
      </c>
      <c r="Q205" s="2362" t="n"/>
      <c r="R205" s="2362" t="n"/>
      <c r="S205" s="2362" t="n"/>
      <c r="T205" s="2362" t="n"/>
      <c r="U205" s="2362" t="n"/>
      <c r="V205" s="2362" t="n"/>
      <c r="W205" s="2362" t="n"/>
      <c r="X205" s="2362" t="n"/>
      <c r="Y205" s="2362" t="n"/>
      <c r="Z205" s="2362" t="n"/>
      <c r="AA205" s="2362" t="n"/>
      <c r="AB205" s="2362" t="n"/>
      <c r="AC205" s="2362" t="n"/>
      <c r="AD205" s="2362" t="n"/>
      <c r="AE205" s="2362" t="n"/>
    </row>
    <row customHeight="1" ht="14.25" r="206" s="1843" spans="1:57">
      <c r="B206" s="1274" t="n"/>
      <c r="C206" s="2421" t="s">
        <v>222</v>
      </c>
      <c r="D206" s="1280">
        <f>SUM(D204:D205)</f>
        <v/>
      </c>
      <c r="E206" s="1276">
        <f>SUM(E204:E205)</f>
        <v/>
      </c>
      <c r="F206" s="1276">
        <f>SUM(F204:F205)</f>
        <v/>
      </c>
      <c r="G206" s="1276">
        <f>SUM(G204:G205)</f>
        <v/>
      </c>
      <c r="H206" s="1276">
        <f>SUM(H204:H205)</f>
        <v/>
      </c>
      <c r="I206" s="1276">
        <f>SUM(I204:I205)</f>
        <v/>
      </c>
      <c r="J206" s="1276">
        <f>SUM(J204:J205)</f>
        <v/>
      </c>
      <c r="K206" s="1276">
        <f>SUM(K204:K205)</f>
        <v/>
      </c>
      <c r="L206" s="1276">
        <f>SUM(L204:L205)</f>
        <v/>
      </c>
      <c r="M206" s="1276">
        <f>SUM(M204:M205)</f>
        <v/>
      </c>
      <c r="N206" s="1276">
        <f>SUM(N204:N205)</f>
        <v/>
      </c>
      <c r="O206" s="1277">
        <f>SUM(O204:O205)</f>
        <v/>
      </c>
      <c r="P206" s="1221">
        <f>SUM(D206:O206)</f>
        <v/>
      </c>
      <c r="Q206" s="2362" t="n"/>
      <c r="R206" s="2362" t="n"/>
      <c r="S206" s="2362" t="n"/>
      <c r="T206" s="2362" t="n"/>
      <c r="U206" s="2362" t="n"/>
      <c r="V206" s="2362" t="n"/>
      <c r="W206" s="2362" t="n"/>
      <c r="X206" s="2362" t="n"/>
      <c r="Y206" s="2362" t="n"/>
      <c r="Z206" s="2362" t="n"/>
      <c r="AA206" s="2362" t="n"/>
      <c r="AB206" s="2362" t="n"/>
      <c r="AC206" s="2362" t="n"/>
      <c r="AD206" s="2362" t="n"/>
      <c r="AE206" s="2362" t="n"/>
    </row>
    <row customHeight="1" ht="14.25" r="207" s="1843" spans="1:57">
      <c r="A207" s="2435" t="n"/>
      <c r="B207" s="1324" t="n"/>
      <c r="C207" s="2420" t="n"/>
      <c r="D207" s="140" t="n"/>
      <c r="E207" s="140" t="n"/>
      <c r="F207" s="140" t="n"/>
      <c r="G207" s="140" t="n"/>
      <c r="H207" s="140" t="n"/>
      <c r="I207" s="140" t="n"/>
      <c r="J207" s="140" t="n"/>
      <c r="K207" s="140" t="n"/>
      <c r="L207" s="140" t="n"/>
      <c r="M207" s="140" t="n"/>
      <c r="N207" s="140" t="n"/>
      <c r="O207" s="140" t="n"/>
      <c r="P207" s="2422" t="n"/>
      <c r="Q207" s="2362" t="n"/>
      <c r="R207" s="2362" t="n"/>
      <c r="S207" s="2362" t="n"/>
      <c r="T207" s="2362" t="n"/>
      <c r="U207" s="2362" t="n"/>
      <c r="V207" s="2362" t="n"/>
      <c r="W207" s="2362" t="n"/>
      <c r="X207" s="2362" t="n"/>
      <c r="Y207" s="2362" t="n"/>
      <c r="Z207" s="2362" t="n"/>
      <c r="AA207" s="2362" t="n"/>
      <c r="AB207" s="2362" t="n"/>
      <c r="AC207" s="2362" t="n"/>
      <c r="AD207" s="2362" t="n"/>
      <c r="AE207" s="2362" t="n"/>
    </row>
    <row customHeight="1" hidden="1" ht="15.75" outlineLevel="1" r="208" s="1843" spans="1:57">
      <c r="A208" s="2370" t="n"/>
      <c r="B208" s="80" t="n"/>
      <c r="C208" s="2371" t="n"/>
      <c r="D208" s="2372" t="n">
        <v>43191</v>
      </c>
      <c r="E208" s="2372" t="n">
        <v>43221</v>
      </c>
      <c r="F208" s="2372" t="n">
        <v>43252</v>
      </c>
      <c r="G208" s="2372" t="n">
        <v>43282</v>
      </c>
      <c r="H208" s="2372" t="n">
        <v>43313</v>
      </c>
      <c r="I208" s="2372" t="n">
        <v>43344</v>
      </c>
      <c r="J208" s="2372" t="n">
        <v>43374</v>
      </c>
      <c r="K208" s="2372" t="n">
        <v>43405</v>
      </c>
      <c r="L208" s="2372" t="n">
        <v>43435</v>
      </c>
      <c r="M208" s="2372" t="n">
        <v>43466</v>
      </c>
      <c r="N208" s="2372" t="n">
        <v>43497</v>
      </c>
      <c r="O208" s="2372" t="n">
        <v>43525</v>
      </c>
      <c r="P208" s="2373" t="s">
        <v>55</v>
      </c>
    </row>
    <row customHeight="1" hidden="1" ht="15.75" outlineLevel="1" r="209" s="1843" spans="1:57">
      <c r="A209" s="2375" t="s">
        <v>168</v>
      </c>
      <c r="B209" s="64" t="n"/>
      <c r="C209" s="2376" t="s">
        <v>187</v>
      </c>
      <c r="D209" s="1381">
        <f>D228*D632+D229*D633+D230*D634+D231*D635</f>
        <v/>
      </c>
      <c r="E209" s="1381">
        <f>E228*E632+E229*E633+E230*E634+E231*E635</f>
        <v/>
      </c>
      <c r="F209" s="1381">
        <f>F228*F632+F229*F633+F230*F634+F231*F635</f>
        <v/>
      </c>
      <c r="G209" s="1381">
        <f>G228*G632+G229*G633+G230*G634+G231*G635</f>
        <v/>
      </c>
      <c r="H209" s="1381">
        <f>H228*H632+H229*H633+H230*H634+H231*H635</f>
        <v/>
      </c>
      <c r="I209" s="1381">
        <f>I228*I632+I229*I633+I230*I634+I231*I635</f>
        <v/>
      </c>
      <c r="J209" s="1381">
        <f>J228*J632+J229*J633+J230*J634+J231*J635</f>
        <v/>
      </c>
      <c r="K209" s="1381">
        <f>K228*K632+K229*K633+K230*K634+K231*K635</f>
        <v/>
      </c>
      <c r="L209" s="1381">
        <f>L228*L632+L229*L633+L230*L634+L231*L635</f>
        <v/>
      </c>
      <c r="M209" s="1381">
        <f>M228*M632+M229*M633+M230*M634+M231*M635</f>
        <v/>
      </c>
      <c r="N209" s="1381">
        <f>N228*N632+N229*N633+N230*N634+N231*N635</f>
        <v/>
      </c>
      <c r="O209" s="1381">
        <f>O228*O632+O229*O633+O230*O634+O231*O635-6</f>
        <v/>
      </c>
      <c r="P209" s="49">
        <f>SUM(D209:O209)</f>
        <v/>
      </c>
    </row>
    <row customHeight="1" hidden="1" ht="25.5" outlineLevel="1" r="210" s="1843" spans="1:57">
      <c r="A210" s="2436" t="s">
        <v>95</v>
      </c>
      <c r="B210" s="66" t="n"/>
      <c r="C210" s="2379" t="s">
        <v>189</v>
      </c>
      <c r="D210" s="1380">
        <f>D176*D$232/D$198</f>
        <v/>
      </c>
      <c r="E210" s="1380">
        <f>E176*E$232/E$198</f>
        <v/>
      </c>
      <c r="F210" s="1380">
        <f>F176*F$232/F$198</f>
        <v/>
      </c>
      <c r="G210" s="1380">
        <f>G176*G$232/G$198</f>
        <v/>
      </c>
      <c r="H210" s="1380">
        <f>H176*H$232/H$198</f>
        <v/>
      </c>
      <c r="I210" s="1380">
        <f>I176*I$232/I$198</f>
        <v/>
      </c>
      <c r="J210" s="1380">
        <f>J176*J$232/J$198</f>
        <v/>
      </c>
      <c r="K210" s="1380">
        <f>K176*K$232/K$198</f>
        <v/>
      </c>
      <c r="L210" s="1380">
        <f>L176*L$232/L$198</f>
        <v/>
      </c>
      <c r="M210" s="1380">
        <f>M176*M$232/M$198</f>
        <v/>
      </c>
      <c r="N210" s="1380">
        <f>N176*N$232/N$198</f>
        <v/>
      </c>
      <c r="O210" s="1380">
        <f>O176*O$232/O$198</f>
        <v/>
      </c>
      <c r="P210" s="46">
        <f>SUM(D210:O210)</f>
        <v/>
      </c>
    </row>
    <row customHeight="1" hidden="1" ht="15.75" outlineLevel="1" r="211" s="1843" spans="1:57">
      <c r="A211" s="2403" t="n"/>
      <c r="B211" s="66" t="n"/>
      <c r="C211" s="2379" t="s">
        <v>212</v>
      </c>
      <c r="D211" s="1380">
        <f>D177*D$232/D$198</f>
        <v/>
      </c>
      <c r="E211" s="1380">
        <f>E177*E$232/E$198</f>
        <v/>
      </c>
      <c r="F211" s="1380">
        <f>F177*F$232/F$198</f>
        <v/>
      </c>
      <c r="G211" s="1380">
        <f>G177*G$232/G$198</f>
        <v/>
      </c>
      <c r="H211" s="1380">
        <f>H177*H$232/H$198</f>
        <v/>
      </c>
      <c r="I211" s="1380">
        <f>I177*I$232/I$198</f>
        <v/>
      </c>
      <c r="J211" s="1380">
        <f>J177*J$232/J$198</f>
        <v/>
      </c>
      <c r="K211" s="1380">
        <f>K177*K$232/K$198</f>
        <v/>
      </c>
      <c r="L211" s="1380">
        <f>L177*L$232/L$198</f>
        <v/>
      </c>
      <c r="M211" s="1380">
        <f>M177*M$232/M$198</f>
        <v/>
      </c>
      <c r="N211" s="1380">
        <f>N177*N$232/N$198</f>
        <v/>
      </c>
      <c r="O211" s="1380">
        <f>O177*O$232/O$198</f>
        <v/>
      </c>
      <c r="P211" s="46">
        <f>SUM(D211:O211)</f>
        <v/>
      </c>
    </row>
    <row customHeight="1" hidden="1" ht="14.25" outlineLevel="1" r="212" s="1843" spans="1:57">
      <c r="A212" s="2381" t="n"/>
      <c r="B212" s="66" t="n"/>
      <c r="C212" s="2379" t="s">
        <v>191</v>
      </c>
      <c r="D212" s="1380">
        <f>D178*D$232/D$198</f>
        <v/>
      </c>
      <c r="E212" s="1380">
        <f>E178*E$232/E$198</f>
        <v/>
      </c>
      <c r="F212" s="1380">
        <f>F178*F$232/F$198</f>
        <v/>
      </c>
      <c r="G212" s="1380">
        <f>G178*G$232/G$198</f>
        <v/>
      </c>
      <c r="H212" s="1380">
        <f>H178*H$232/H$198</f>
        <v/>
      </c>
      <c r="I212" s="1380">
        <f>I178*I$232/I$198</f>
        <v/>
      </c>
      <c r="J212" s="1380">
        <f>J178*J$232/J$198</f>
        <v/>
      </c>
      <c r="K212" s="1380">
        <f>K178*K$232/K$198</f>
        <v/>
      </c>
      <c r="L212" s="1380">
        <f>L178*L$232/L$198</f>
        <v/>
      </c>
      <c r="M212" s="1380">
        <f>M178*M$232/M$198</f>
        <v/>
      </c>
      <c r="N212" s="1380">
        <f>N178*N$232/N$198</f>
        <v/>
      </c>
      <c r="O212" s="1380">
        <f>O178*O$232/O$198</f>
        <v/>
      </c>
      <c r="P212" s="46">
        <f>SUM(D212:O212)</f>
        <v/>
      </c>
    </row>
    <row customHeight="1" hidden="1" ht="14.25" outlineLevel="1" r="213" s="1843" spans="1:57">
      <c r="A213" s="2381" t="n"/>
      <c r="B213" s="66" t="n"/>
      <c r="C213" s="2379" t="s">
        <v>192</v>
      </c>
      <c r="D213" s="1380">
        <f>D179*D$232/D$198</f>
        <v/>
      </c>
      <c r="E213" s="1380">
        <f>E179*E$232/E$198</f>
        <v/>
      </c>
      <c r="F213" s="1380">
        <f>F179*F$232/F$198</f>
        <v/>
      </c>
      <c r="G213" s="1380">
        <f>G179*G$232/G$198</f>
        <v/>
      </c>
      <c r="H213" s="1380">
        <f>H179*H$232/H$198</f>
        <v/>
      </c>
      <c r="I213" s="1380">
        <f>I179*I$232/I$198</f>
        <v/>
      </c>
      <c r="J213" s="1380">
        <f>J179*J$232/J$198</f>
        <v/>
      </c>
      <c r="K213" s="1380">
        <f>K179*K$232/K$198</f>
        <v/>
      </c>
      <c r="L213" s="1380">
        <f>L179*L$232/L$198</f>
        <v/>
      </c>
      <c r="M213" s="1380">
        <f>M179*M$232/M$198</f>
        <v/>
      </c>
      <c r="N213" s="1380">
        <f>N179*N$232/N$198</f>
        <v/>
      </c>
      <c r="O213" s="1380">
        <f>O179*O$232/O$198</f>
        <v/>
      </c>
      <c r="P213" s="46">
        <f>SUM(D213:O213)</f>
        <v/>
      </c>
    </row>
    <row customHeight="1" hidden="1" ht="14.25" outlineLevel="1" r="214" s="1843" spans="1:57">
      <c r="A214" s="2381" t="n"/>
      <c r="B214" s="66" t="n"/>
      <c r="C214" s="2379" t="s">
        <v>213</v>
      </c>
      <c r="D214" s="1380">
        <f>D180*D$232/D$198</f>
        <v/>
      </c>
      <c r="E214" s="1380">
        <f>E180*E$232/E$198</f>
        <v/>
      </c>
      <c r="F214" s="1380">
        <f>F180*F$232/F$198</f>
        <v/>
      </c>
      <c r="G214" s="1380">
        <f>G180*G$232/G$198</f>
        <v/>
      </c>
      <c r="H214" s="1380">
        <f>H180*H$232/H$198</f>
        <v/>
      </c>
      <c r="I214" s="1380">
        <f>I180*I$232/I$198</f>
        <v/>
      </c>
      <c r="J214" s="1380">
        <f>J180*J$232/J$198</f>
        <v/>
      </c>
      <c r="K214" s="1380">
        <f>K180*K$232/K$198</f>
        <v/>
      </c>
      <c r="L214" s="1380">
        <f>L180*L$232/L$198</f>
        <v/>
      </c>
      <c r="M214" s="1380">
        <f>M180*M$232/M$198</f>
        <v/>
      </c>
      <c r="N214" s="1380">
        <f>N180*N$232/N$198</f>
        <v/>
      </c>
      <c r="O214" s="1380">
        <f>O180*O$232/O$198</f>
        <v/>
      </c>
      <c r="P214" s="47">
        <f>SUM(D214:O214)</f>
        <v/>
      </c>
    </row>
    <row customHeight="1" hidden="1" ht="14.25" outlineLevel="1" r="215" s="1843" spans="1:57">
      <c r="A215" s="2381" t="n"/>
      <c r="B215" s="123" t="n"/>
      <c r="C215" s="2382" t="s">
        <v>195</v>
      </c>
      <c r="D215" s="1380">
        <f>D181*D$232/D$198</f>
        <v/>
      </c>
      <c r="E215" s="1380">
        <f>E181*E$232/E$198</f>
        <v/>
      </c>
      <c r="F215" s="1380">
        <f>F181*F$232/F$198</f>
        <v/>
      </c>
      <c r="G215" s="1380">
        <f>G181*G$232/G$198</f>
        <v/>
      </c>
      <c r="H215" s="1380">
        <f>H181*H$232/H$198</f>
        <v/>
      </c>
      <c r="I215" s="1380">
        <f>I181*I$232/I$198</f>
        <v/>
      </c>
      <c r="J215" s="1380">
        <f>J181*J$232/J$198</f>
        <v/>
      </c>
      <c r="K215" s="1380">
        <f>K181*K$232/K$198</f>
        <v/>
      </c>
      <c r="L215" s="1380">
        <f>L181*L$232/L$198</f>
        <v/>
      </c>
      <c r="M215" s="1380">
        <f>M181*M$232/M$198</f>
        <v/>
      </c>
      <c r="N215" s="1380">
        <f>N181*N$232/N$198</f>
        <v/>
      </c>
      <c r="O215" s="1380">
        <f>O181*O$232/O$198</f>
        <v/>
      </c>
      <c r="P215" s="46">
        <f>SUM(D215:O215)</f>
        <v/>
      </c>
    </row>
    <row customHeight="1" hidden="1" ht="14.25" outlineLevel="1" r="216" s="1843" spans="1:57">
      <c r="A216" s="2381" t="n"/>
      <c r="B216" s="70" t="s">
        <v>214</v>
      </c>
      <c r="C216" s="2406" t="n"/>
      <c r="D216" s="73">
        <f>SUM(D209:D215)</f>
        <v/>
      </c>
      <c r="E216" s="73">
        <f>SUM(E209:E215)</f>
        <v/>
      </c>
      <c r="F216" s="73">
        <f>SUM(F209:F215)</f>
        <v/>
      </c>
      <c r="G216" s="73">
        <f>SUM(G209:G215)</f>
        <v/>
      </c>
      <c r="H216" s="73">
        <f>SUM(H209:H215)</f>
        <v/>
      </c>
      <c r="I216" s="73">
        <f>SUM(I209:I215)</f>
        <v/>
      </c>
      <c r="J216" s="73">
        <f>SUM(J209:J215)</f>
        <v/>
      </c>
      <c r="K216" s="73">
        <f>SUM(K209:K215)</f>
        <v/>
      </c>
      <c r="L216" s="73">
        <f>SUM(L209:L215)</f>
        <v/>
      </c>
      <c r="M216" s="73">
        <f>SUM(M209:M215)</f>
        <v/>
      </c>
      <c r="N216" s="73">
        <f>SUM(N209:N215)</f>
        <v/>
      </c>
      <c r="O216" s="73">
        <f>SUM(O209:O215)</f>
        <v/>
      </c>
      <c r="P216" s="76">
        <f>SUM(D216:O216)</f>
        <v/>
      </c>
    </row>
    <row customHeight="1" hidden="1" ht="14.25" outlineLevel="1" r="217" s="1843" spans="1:57">
      <c r="A217" s="2407" t="n"/>
      <c r="B217" s="123" t="n"/>
      <c r="C217" s="2385" t="s">
        <v>161</v>
      </c>
      <c r="D217" s="962">
        <f>D183*D$240/D$206</f>
        <v/>
      </c>
      <c r="E217" s="962">
        <f>E183*E$240/E$206</f>
        <v/>
      </c>
      <c r="F217" s="962">
        <f>F183*F$240/F$206</f>
        <v/>
      </c>
      <c r="G217" s="962">
        <f>G183*G$240/G$206</f>
        <v/>
      </c>
      <c r="H217" s="962">
        <f>H183*H$240/H$206</f>
        <v/>
      </c>
      <c r="I217" s="962">
        <f>I183*I$240/I$206</f>
        <v/>
      </c>
      <c r="J217" s="962">
        <f>J183*J$240/J$206</f>
        <v/>
      </c>
      <c r="K217" s="962">
        <f>K183*K$240/K$206</f>
        <v/>
      </c>
      <c r="L217" s="962">
        <f>L183*L$240/L$206</f>
        <v/>
      </c>
      <c r="M217" s="962">
        <f>M183*M$240/M$206</f>
        <v/>
      </c>
      <c r="N217" s="962">
        <f>N183*N$240/N$206</f>
        <v/>
      </c>
      <c r="O217" s="962">
        <f>O183*O$240/O$206</f>
        <v/>
      </c>
      <c r="P217" s="85">
        <f>SUM(D217:O217)</f>
        <v/>
      </c>
      <c r="Q217" s="2362" t="n"/>
      <c r="S217" s="2362" t="n"/>
      <c r="T217" s="2362" t="n"/>
      <c r="U217" s="2362" t="n"/>
      <c r="V217" s="2362" t="n"/>
      <c r="W217" s="2362" t="n"/>
      <c r="X217" s="2362" t="n"/>
      <c r="Y217" s="2362" t="n"/>
      <c r="Z217" s="2362" t="n"/>
      <c r="AA217" s="2362" t="n"/>
      <c r="AB217" s="2362" t="n"/>
      <c r="AC217" s="2362" t="n"/>
      <c r="AD217" s="2362" t="n"/>
      <c r="AE217" s="2362" t="n"/>
    </row>
    <row customHeight="1" hidden="1" ht="14.25" outlineLevel="1" r="218" s="1843" spans="1:57">
      <c r="A218" s="2407" t="n"/>
      <c r="B218" s="123" t="n"/>
      <c r="C218" s="2386" t="s">
        <v>215</v>
      </c>
      <c r="D218" s="962">
        <f>D184*D$232/D$198</f>
        <v/>
      </c>
      <c r="E218" s="962">
        <f>E184*E$232/E$198</f>
        <v/>
      </c>
      <c r="F218" s="962">
        <f>F184*F$232/F$198</f>
        <v/>
      </c>
      <c r="G218" s="962">
        <f>G184*G$232/G$198</f>
        <v/>
      </c>
      <c r="H218" s="962">
        <f>H184*H$232/H$198</f>
        <v/>
      </c>
      <c r="I218" s="962">
        <f>I184*I$232/I$198</f>
        <v/>
      </c>
      <c r="J218" s="962">
        <f>J184*J$232/J$198</f>
        <v/>
      </c>
      <c r="K218" s="962">
        <f>K184*K$232/K$198</f>
        <v/>
      </c>
      <c r="L218" s="962">
        <f>L184*L$232/L$198</f>
        <v/>
      </c>
      <c r="M218" s="962">
        <f>M184*M$232/M$198</f>
        <v/>
      </c>
      <c r="N218" s="962">
        <f>N184*N$232/N$198</f>
        <v/>
      </c>
      <c r="O218" s="962">
        <f>O184*O$232/O$198</f>
        <v/>
      </c>
      <c r="P218" s="85">
        <f>SUM(D218:O218)</f>
        <v/>
      </c>
      <c r="Q218" s="2362" t="n"/>
      <c r="S218" s="2362" t="n"/>
      <c r="T218" s="2362" t="n"/>
      <c r="U218" s="2362" t="n"/>
      <c r="V218" s="2362" t="n"/>
      <c r="W218" s="2362" t="n"/>
      <c r="X218" s="2362" t="n"/>
      <c r="Y218" s="2362" t="n"/>
      <c r="Z218" s="2362" t="n"/>
      <c r="AA218" s="2362" t="n"/>
      <c r="AB218" s="2362" t="n"/>
      <c r="AC218" s="2362" t="n"/>
      <c r="AD218" s="2362" t="n"/>
      <c r="AE218" s="2362" t="n"/>
    </row>
    <row customHeight="1" hidden="1" ht="14.25" outlineLevel="1" r="219" s="1843" spans="1:57">
      <c r="A219" s="2407" t="n"/>
      <c r="B219" s="1171" t="n"/>
      <c r="C219" s="2386" t="s">
        <v>197</v>
      </c>
      <c r="D219" s="962">
        <f>D185*D$238/D$204</f>
        <v/>
      </c>
      <c r="E219" s="962">
        <f>E185*E$238/E$204</f>
        <v/>
      </c>
      <c r="F219" s="962">
        <f>F185*F$238/F$204</f>
        <v/>
      </c>
      <c r="G219" s="962">
        <f>G185*G$238/G$204</f>
        <v/>
      </c>
      <c r="H219" s="962">
        <f>H185*H$238/H$204</f>
        <v/>
      </c>
      <c r="I219" s="962">
        <f>I185*I$238/I$204</f>
        <v/>
      </c>
      <c r="J219" s="962">
        <f>J185*J$238/J$204</f>
        <v/>
      </c>
      <c r="K219" s="962">
        <f>K185*K$238/K$204</f>
        <v/>
      </c>
      <c r="L219" s="962">
        <f>L185*L$238/L$204</f>
        <v/>
      </c>
      <c r="M219" s="962">
        <f>M185*M$238/M$204</f>
        <v/>
      </c>
      <c r="N219" s="962">
        <f>N185*N$238/N$204</f>
        <v/>
      </c>
      <c r="O219" s="962">
        <f>O185*O$238/O$204</f>
        <v/>
      </c>
      <c r="P219" s="85">
        <f>SUM(D219:O219)</f>
        <v/>
      </c>
      <c r="Q219" s="2362" t="n"/>
      <c r="S219" s="2362" t="n"/>
      <c r="T219" s="2362" t="n"/>
      <c r="U219" s="2362" t="n"/>
      <c r="V219" s="2362" t="n"/>
      <c r="W219" s="2362" t="n"/>
      <c r="X219" s="2362" t="n"/>
      <c r="Y219" s="2362" t="n"/>
      <c r="Z219" s="2362" t="n"/>
      <c r="AA219" s="2362" t="n"/>
      <c r="AB219" s="2362" t="n"/>
      <c r="AC219" s="2362" t="n"/>
      <c r="AD219" s="2362" t="n"/>
      <c r="AE219" s="2362" t="n"/>
    </row>
    <row customHeight="1" hidden="1" ht="14.25" outlineLevel="1" r="220" s="1843" spans="1:57">
      <c r="A220" s="2407" t="n"/>
      <c r="B220" s="123" t="n"/>
      <c r="C220" s="2386" t="s">
        <v>198</v>
      </c>
      <c r="D220" s="962">
        <f>D186*D$239/D$205</f>
        <v/>
      </c>
      <c r="E220" s="962">
        <f>E186*E$239/E$205</f>
        <v/>
      </c>
      <c r="F220" s="962">
        <f>F186*F$239/F$205</f>
        <v/>
      </c>
      <c r="G220" s="962">
        <f>G186*G$239/G$205</f>
        <v/>
      </c>
      <c r="H220" s="962">
        <f>H186*H$239/H$205</f>
        <v/>
      </c>
      <c r="I220" s="962">
        <f>I186*I$239/I$205</f>
        <v/>
      </c>
      <c r="J220" s="962">
        <f>J186*J$239/J$205</f>
        <v/>
      </c>
      <c r="K220" s="962">
        <f>K186*K$239/K$205</f>
        <v/>
      </c>
      <c r="L220" s="962">
        <f>L186*L$239/L$205</f>
        <v/>
      </c>
      <c r="M220" s="962">
        <f>M186*M$239/M$205</f>
        <v/>
      </c>
      <c r="N220" s="962">
        <f>N186*N$239/N$205</f>
        <v/>
      </c>
      <c r="O220" s="962">
        <f>O186*O$239/O$205</f>
        <v/>
      </c>
      <c r="P220" s="85">
        <f>SUM(D220:O220)</f>
        <v/>
      </c>
      <c r="Q220" s="2362" t="n"/>
      <c r="S220" s="2362" t="n"/>
      <c r="T220" s="2362" t="n"/>
      <c r="U220" s="2362" t="n"/>
      <c r="V220" s="2362" t="n"/>
      <c r="W220" s="2362" t="n"/>
      <c r="X220" s="2362" t="n"/>
      <c r="Y220" s="2362" t="n"/>
      <c r="Z220" s="2362" t="n"/>
      <c r="AA220" s="2362" t="n"/>
      <c r="AB220" s="2362" t="n"/>
      <c r="AC220" s="2362" t="n"/>
      <c r="AD220" s="2362" t="n"/>
      <c r="AE220" s="2362" t="n"/>
    </row>
    <row customFormat="1" customHeight="1" hidden="1" ht="14.25" outlineLevel="1" r="221" s="2437" spans="1:57">
      <c r="A221" s="2407" t="n"/>
      <c r="B221" s="123" t="n"/>
      <c r="C221" s="2385" t="s">
        <v>199</v>
      </c>
      <c r="D221" s="87">
        <f>D187*D$238/D$204</f>
        <v/>
      </c>
      <c r="E221" s="87">
        <f>E187*E$238/E$204</f>
        <v/>
      </c>
      <c r="F221" s="87">
        <f>F187*F$238/F$204</f>
        <v/>
      </c>
      <c r="G221" s="87">
        <f>G187*G$238/G$204</f>
        <v/>
      </c>
      <c r="H221" s="87">
        <f>H187*H$238/H$204</f>
        <v/>
      </c>
      <c r="I221" s="87">
        <f>I187*I$238/I$204</f>
        <v/>
      </c>
      <c r="J221" s="87">
        <f>J187*J$238/J$204</f>
        <v/>
      </c>
      <c r="K221" s="87">
        <f>K187*K$238/K$204</f>
        <v/>
      </c>
      <c r="L221" s="87">
        <f>L187*L$238/L$204</f>
        <v/>
      </c>
      <c r="M221" s="87">
        <f>M187*M$238/M$204</f>
        <v/>
      </c>
      <c r="N221" s="87">
        <f>N187*N$238/N$204</f>
        <v/>
      </c>
      <c r="O221" s="87">
        <f>O187*O$238/O$204</f>
        <v/>
      </c>
      <c r="P221" s="85">
        <f>SUM(D221:O221)</f>
        <v/>
      </c>
      <c r="Q221" s="2362" t="n"/>
      <c r="R221" s="2362" t="n"/>
      <c r="S221" s="2362" t="n"/>
      <c r="T221" s="2362" t="n"/>
      <c r="U221" s="2362" t="n"/>
      <c r="V221" s="2362" t="n"/>
      <c r="W221" s="2362" t="n"/>
      <c r="X221" s="2362" t="n"/>
      <c r="Y221" s="2362" t="n"/>
      <c r="Z221" s="2362" t="n"/>
      <c r="AA221" s="2362" t="n"/>
      <c r="AB221" s="2362" t="n"/>
      <c r="AC221" s="2362" t="n"/>
      <c r="AD221" s="2362" t="n"/>
      <c r="AE221" s="2362" t="n"/>
      <c r="AF221" s="2362" t="n"/>
      <c r="AG221" s="2362" t="n"/>
      <c r="AH221" s="2362" t="n"/>
      <c r="AI221" s="2362" t="n"/>
      <c r="AJ221" s="2362" t="n"/>
      <c r="AK221" s="2362" t="n"/>
      <c r="AL221" s="2362" t="n"/>
      <c r="AM221" s="2362" t="n"/>
      <c r="AN221" s="2362" t="n"/>
      <c r="AO221" s="2362" t="n"/>
      <c r="AP221" s="2362" t="n"/>
      <c r="AQ221" s="2362" t="n"/>
      <c r="AR221" s="2362" t="n"/>
      <c r="AS221" s="2362" t="n"/>
      <c r="AT221" s="2362" t="n"/>
      <c r="AU221" s="2362" t="n"/>
      <c r="AV221" s="2362" t="n"/>
      <c r="AW221" s="2362" t="n"/>
      <c r="AX221" s="2362" t="n"/>
      <c r="AY221" s="2362" t="n"/>
      <c r="AZ221" s="2362" t="n"/>
      <c r="BA221" s="2362" t="n"/>
      <c r="BB221" s="2362" t="n"/>
      <c r="BC221" s="2362" t="n"/>
      <c r="BD221" s="2362" t="n"/>
      <c r="BE221" s="2362" t="n"/>
    </row>
    <row customFormat="1" customHeight="1" hidden="1" ht="14.25" outlineLevel="1" r="222" s="2437" spans="1:57">
      <c r="A222" s="2407" t="n"/>
      <c r="B222" s="123" t="n"/>
      <c r="C222" s="2385" t="s">
        <v>200</v>
      </c>
      <c r="D222" s="87">
        <f>D188*D$239/D$205</f>
        <v/>
      </c>
      <c r="E222" s="87">
        <f>E188*E$239/E$205</f>
        <v/>
      </c>
      <c r="F222" s="87">
        <f>F188*F$239/F$205</f>
        <v/>
      </c>
      <c r="G222" s="87">
        <f>G188*G$239/G$205</f>
        <v/>
      </c>
      <c r="H222" s="87">
        <f>H188*H$239/H$205</f>
        <v/>
      </c>
      <c r="I222" s="87">
        <f>I188*I$239/I$205</f>
        <v/>
      </c>
      <c r="J222" s="87">
        <f>J188*J$239/J$205</f>
        <v/>
      </c>
      <c r="K222" s="87">
        <f>K188*K$239/K$205</f>
        <v/>
      </c>
      <c r="L222" s="87">
        <f>L188*L$239/L$205</f>
        <v/>
      </c>
      <c r="M222" s="87">
        <f>M188*M$239/M$205</f>
        <v/>
      </c>
      <c r="N222" s="87">
        <f>N188*N$239/N$205</f>
        <v/>
      </c>
      <c r="O222" s="87">
        <f>O188*O$239/O$205</f>
        <v/>
      </c>
      <c r="P222" s="85">
        <f>SUM(D222:O222)</f>
        <v/>
      </c>
      <c r="Q222" s="2362" t="n"/>
      <c r="R222" s="2362" t="n"/>
      <c r="S222" s="2362" t="n"/>
      <c r="T222" s="2362" t="n"/>
      <c r="U222" s="2362" t="n"/>
      <c r="V222" s="2362" t="n"/>
      <c r="W222" s="2362" t="n"/>
      <c r="X222" s="2362" t="n"/>
      <c r="Y222" s="2362" t="n"/>
      <c r="Z222" s="2362" t="n"/>
      <c r="AA222" s="2362" t="n"/>
      <c r="AB222" s="2362" t="n"/>
      <c r="AC222" s="2362" t="n"/>
      <c r="AD222" s="2362" t="n"/>
      <c r="AE222" s="2362" t="n"/>
      <c r="AF222" s="2362" t="n"/>
      <c r="AG222" s="2362" t="n"/>
      <c r="AH222" s="2362" t="n"/>
      <c r="AI222" s="2362" t="n"/>
      <c r="AJ222" s="2362" t="n"/>
      <c r="AK222" s="2362" t="n"/>
      <c r="AL222" s="2362" t="n"/>
      <c r="AM222" s="2362" t="n"/>
      <c r="AN222" s="2362" t="n"/>
      <c r="AO222" s="2362" t="n"/>
      <c r="AP222" s="2362" t="n"/>
      <c r="AQ222" s="2362" t="n"/>
      <c r="AR222" s="2362" t="n"/>
      <c r="AS222" s="2362" t="n"/>
      <c r="AT222" s="2362" t="n"/>
      <c r="AU222" s="2362" t="n"/>
      <c r="AV222" s="2362" t="n"/>
      <c r="AW222" s="2362" t="n"/>
      <c r="AX222" s="2362" t="n"/>
      <c r="AY222" s="2362" t="n"/>
      <c r="AZ222" s="2362" t="n"/>
      <c r="BA222" s="2362" t="n"/>
      <c r="BB222" s="2362" t="n"/>
      <c r="BC222" s="2362" t="n"/>
      <c r="BD222" s="2362" t="n"/>
      <c r="BE222" s="2362" t="n"/>
    </row>
    <row customFormat="1" customHeight="1" hidden="1" ht="14.25" outlineLevel="1" r="223" s="2369" spans="1:57">
      <c r="A223" s="2408" t="n"/>
      <c r="B223" s="71" t="n"/>
      <c r="C223" s="2385" t="s">
        <v>201</v>
      </c>
      <c r="D223" s="962">
        <f>D189*D$240/D$206</f>
        <v/>
      </c>
      <c r="E223" s="962">
        <f>E189*E$240/E$206</f>
        <v/>
      </c>
      <c r="F223" s="962">
        <f>F189*F$240/F$206</f>
        <v/>
      </c>
      <c r="G223" s="962">
        <f>G189*G$240/G$206</f>
        <v/>
      </c>
      <c r="H223" s="962">
        <f>H189*H$240/H$206</f>
        <v/>
      </c>
      <c r="I223" s="962">
        <f>I189*I$240/I$206</f>
        <v/>
      </c>
      <c r="J223" s="962">
        <f>J189*J$240/J$206</f>
        <v/>
      </c>
      <c r="K223" s="962">
        <f>K189*K$240/K$206</f>
        <v/>
      </c>
      <c r="L223" s="962">
        <f>L189*L$240/L$206</f>
        <v/>
      </c>
      <c r="M223" s="962">
        <f>M189*M$240/M$206</f>
        <v/>
      </c>
      <c r="N223" s="962">
        <f>N189*N$240/N$206</f>
        <v/>
      </c>
      <c r="O223" s="962">
        <f>O189*O$240/O$206</f>
        <v/>
      </c>
      <c r="P223" s="85">
        <f>SUM(D223:O223)</f>
        <v/>
      </c>
      <c r="Q223" s="2422" t="n"/>
      <c r="R223" s="2362" t="n"/>
      <c r="S223" s="2422" t="n"/>
      <c r="T223" s="2422" t="n"/>
      <c r="U223" s="2422" t="n"/>
      <c r="V223" s="2422" t="n"/>
      <c r="W223" s="2422" t="n"/>
      <c r="X223" s="2422" t="n"/>
      <c r="Y223" s="2422" t="n"/>
      <c r="Z223" s="2422" t="n"/>
      <c r="AA223" s="2422" t="n"/>
      <c r="AB223" s="2422" t="n"/>
      <c r="AC223" s="2422" t="n"/>
      <c r="AD223" s="2422" t="n"/>
      <c r="AE223" s="2422" t="n"/>
      <c r="AF223" s="2422" t="n"/>
      <c r="AG223" s="2422" t="n"/>
      <c r="AH223" s="2422" t="n"/>
      <c r="AI223" s="2422" t="n"/>
      <c r="AJ223" s="2422" t="n"/>
      <c r="AK223" s="2422" t="n"/>
      <c r="AL223" s="2422" t="n"/>
      <c r="AM223" s="2422" t="n"/>
      <c r="AN223" s="2422" t="n"/>
      <c r="AO223" s="2422" t="n"/>
      <c r="AP223" s="2422" t="n"/>
      <c r="AQ223" s="2422" t="n"/>
      <c r="AR223" s="2422" t="n"/>
      <c r="AS223" s="2422" t="n"/>
    </row>
    <row customHeight="1" hidden="1" ht="36" outlineLevel="1" r="224" s="1843" spans="1:57">
      <c r="A224" s="2408" t="n"/>
      <c r="B224" s="1171" t="n"/>
      <c r="C224" s="2438" t="s">
        <v>202</v>
      </c>
      <c r="D224" s="962">
        <f>D190*D$239/D$205</f>
        <v/>
      </c>
      <c r="E224" s="962">
        <f>E190*E$239/E$205</f>
        <v/>
      </c>
      <c r="F224" s="962">
        <f>F190*F$239/F$205</f>
        <v/>
      </c>
      <c r="G224" s="962">
        <f>G190*G$239/G$205</f>
        <v/>
      </c>
      <c r="H224" s="962">
        <f>H190*H$239/H$205</f>
        <v/>
      </c>
      <c r="I224" s="962">
        <f>I190*I$239/I$205</f>
        <v/>
      </c>
      <c r="J224" s="962">
        <f>J190*J$239/J$205</f>
        <v/>
      </c>
      <c r="K224" s="962">
        <f>K190*K$239/K$205</f>
        <v/>
      </c>
      <c r="L224" s="962">
        <f>L190*L$239/L$205</f>
        <v/>
      </c>
      <c r="M224" s="962">
        <f>M190*M$239/M$205</f>
        <v/>
      </c>
      <c r="N224" s="962">
        <f>N190*N$239/N$205</f>
        <v/>
      </c>
      <c r="O224" s="962">
        <f>O190*O$239/O$205</f>
        <v/>
      </c>
      <c r="P224" s="85">
        <f>SUM(D224:O224)</f>
        <v/>
      </c>
      <c r="Q224" s="2362" t="n"/>
      <c r="S224" s="2362" t="n"/>
      <c r="T224" s="2362" t="n"/>
      <c r="U224" s="2362" t="n"/>
      <c r="V224" s="2362" t="n"/>
      <c r="W224" s="2362" t="n"/>
      <c r="X224" s="2362" t="n"/>
      <c r="Y224" s="2362" t="n"/>
      <c r="Z224" s="2362" t="n"/>
      <c r="AA224" s="2362" t="n"/>
      <c r="AB224" s="2362" t="n"/>
      <c r="AC224" s="2362" t="n"/>
      <c r="AD224" s="2362" t="n"/>
      <c r="AE224" s="2362" t="n"/>
      <c r="AF224" s="2362" t="n"/>
      <c r="AG224" s="2362" t="n"/>
      <c r="AH224" s="2362" t="n"/>
      <c r="AI224" s="2362" t="n"/>
      <c r="AJ224" s="2362" t="n"/>
      <c r="AK224" s="2362" t="n"/>
      <c r="AL224" s="2362" t="n"/>
      <c r="AM224" s="2362" t="n"/>
      <c r="AN224" s="2362" t="n"/>
      <c r="AO224" s="2362" t="n"/>
      <c r="AP224" s="2362" t="n"/>
      <c r="AQ224" s="2362" t="n"/>
      <c r="AR224" s="2362" t="n"/>
      <c r="AS224" s="2362" t="n"/>
    </row>
    <row customHeight="1" hidden="1" ht="14.25" outlineLevel="1" r="225" s="1843" spans="1:57">
      <c r="A225" s="2407" t="n"/>
      <c r="B225" s="139" t="n"/>
      <c r="C225" s="2439" t="s">
        <v>216</v>
      </c>
      <c r="D225" s="1187">
        <f>D$191*SUM(D$232,D$237)/SUM(D$198,D$203)</f>
        <v/>
      </c>
      <c r="E225" s="1187">
        <f>E$191*SUM(E$232,E$237)/SUM(E$198,E$203)</f>
        <v/>
      </c>
      <c r="F225" s="1187">
        <f>F$191*SUM(F$232,F$237)/SUM(F$198,F$203)</f>
        <v/>
      </c>
      <c r="G225" s="1187">
        <f>G$191*SUM(G$232,G$237)/SUM(G$198,G$203)</f>
        <v/>
      </c>
      <c r="H225" s="1187">
        <f>H$191*SUM(H$232,H$237)/SUM(H$198,H$203)</f>
        <v/>
      </c>
      <c r="I225" s="1187">
        <f>I$191*SUM(I$232,I$237)/SUM(I$198,I$203)</f>
        <v/>
      </c>
      <c r="J225" s="1187">
        <f>J$191*SUM(J$232,J$237)/SUM(J$198,J$203)</f>
        <v/>
      </c>
      <c r="K225" s="1187">
        <f>K$191*SUM(K$232,K$237)/SUM(K$198,K$203)</f>
        <v/>
      </c>
      <c r="L225" s="1187">
        <f>L$191*SUM(L$232,L$237)/SUM(L$198,L$203)</f>
        <v/>
      </c>
      <c r="M225" s="1187">
        <f>M$191*SUM(M$232,M$237)/SUM(M$198,M$203)</f>
        <v/>
      </c>
      <c r="N225" s="1187">
        <f>N$191*SUM(N$232,N$237)/SUM(N$198,N$203)</f>
        <v/>
      </c>
      <c r="O225" s="1187">
        <f>O$191*SUM(O$232,O$237)/SUM(O$198,O$203)</f>
        <v/>
      </c>
      <c r="P225" s="1173">
        <f>SUM(D225:O225)</f>
        <v/>
      </c>
      <c r="Q225" s="2362" t="n"/>
      <c r="R225" s="2362" t="n"/>
      <c r="S225" s="2362" t="n"/>
      <c r="T225" s="2362" t="n"/>
      <c r="U225" s="2362" t="n"/>
      <c r="V225" s="2362" t="n"/>
      <c r="W225" s="2362" t="n"/>
      <c r="X225" s="2362" t="n"/>
      <c r="Y225" s="2362" t="n"/>
      <c r="Z225" s="2362" t="n"/>
      <c r="AA225" s="2362" t="n"/>
      <c r="AB225" s="2362" t="n"/>
      <c r="AC225" s="2362" t="n"/>
      <c r="AD225" s="2362" t="n"/>
      <c r="AE225" s="2362" t="n"/>
      <c r="AF225" s="2362" t="n"/>
      <c r="AG225" s="2362" t="n"/>
      <c r="AH225" s="2362" t="n"/>
      <c r="AI225" s="2362" t="n"/>
      <c r="AJ225" s="2362" t="n"/>
      <c r="AK225" s="2362" t="n"/>
      <c r="AL225" s="2362" t="n"/>
      <c r="AM225" s="2362" t="n"/>
      <c r="AN225" s="2362" t="n"/>
      <c r="AO225" s="2362" t="n"/>
      <c r="AP225" s="2362" t="n"/>
      <c r="AQ225" s="2362" t="n"/>
      <c r="AR225" s="2362" t="n"/>
      <c r="AS225" s="2362" t="n"/>
    </row>
    <row customHeight="1" hidden="1" ht="15" outlineLevel="1" r="226" s="1843" spans="1:57" thickBot="1">
      <c r="A226" s="2408" t="n"/>
      <c r="B226" s="70" t="s">
        <v>217</v>
      </c>
      <c r="C226" s="2406" t="n"/>
      <c r="D226" s="73">
        <f>SUM(D217:D225)</f>
        <v/>
      </c>
      <c r="E226" s="73">
        <f>SUM(E217:E225)</f>
        <v/>
      </c>
      <c r="F226" s="73">
        <f>SUM(F217:F225)</f>
        <v/>
      </c>
      <c r="G226" s="73">
        <f>SUM(G217:G225)</f>
        <v/>
      </c>
      <c r="H226" s="73">
        <f>SUM(H217:H225)</f>
        <v/>
      </c>
      <c r="I226" s="73">
        <f>SUM(I217:I225)</f>
        <v/>
      </c>
      <c r="J226" s="73">
        <f>SUM(J217:J225)</f>
        <v/>
      </c>
      <c r="K226" s="73">
        <f>SUM(K217:K225)</f>
        <v/>
      </c>
      <c r="L226" s="73">
        <f>SUM(L217:L225)</f>
        <v/>
      </c>
      <c r="M226" s="73">
        <f>SUM(M217:M225)</f>
        <v/>
      </c>
      <c r="N226" s="73">
        <f>SUM(N217:N225)</f>
        <v/>
      </c>
      <c r="O226" s="73">
        <f>SUM(O217:O225)</f>
        <v/>
      </c>
      <c r="P226" s="76">
        <f>SUM(D226:O226)</f>
        <v/>
      </c>
      <c r="R226" s="2422" t="n"/>
    </row>
    <row customFormat="1" customHeight="1" hidden="1" ht="14.25" outlineLevel="1" r="227" s="2362" spans="1:57">
      <c r="A227" s="2362" t="n"/>
      <c r="B227" s="1324" t="n"/>
      <c r="C227" s="2388" t="s">
        <v>218</v>
      </c>
      <c r="D227" s="1393">
        <f>SUM(D216,D226)</f>
        <v/>
      </c>
      <c r="E227" s="1393">
        <f>SUM(E216,E226)</f>
        <v/>
      </c>
      <c r="F227" s="1393">
        <f>SUM(F216,F226)</f>
        <v/>
      </c>
      <c r="G227" s="1393">
        <f>SUM(G216,G226)</f>
        <v/>
      </c>
      <c r="H227" s="1393">
        <f>SUM(H216,H226)</f>
        <v/>
      </c>
      <c r="I227" s="1393">
        <f>SUM(I216,I226)</f>
        <v/>
      </c>
      <c r="J227" s="1393">
        <f>SUM(J216,J226)</f>
        <v/>
      </c>
      <c r="K227" s="1393">
        <f>SUM(K216,K226)</f>
        <v/>
      </c>
      <c r="L227" s="1393">
        <f>SUM(L216,L226)</f>
        <v/>
      </c>
      <c r="M227" s="1393">
        <f>SUM(M216,M226)</f>
        <v/>
      </c>
      <c r="N227" s="1393">
        <f>SUM(N216,N226)</f>
        <v/>
      </c>
      <c r="O227" s="1393">
        <f>SUM(O216,O226)</f>
        <v/>
      </c>
      <c r="P227" s="89">
        <f>SUM(P216,P226)</f>
        <v/>
      </c>
      <c r="R227" s="2362" t="n"/>
    </row>
    <row customFormat="1" customHeight="1" hidden="1" ht="14.25" outlineLevel="1" r="228" s="2362" spans="1:57">
      <c r="A228" s="2392" t="s">
        <v>203</v>
      </c>
      <c r="B228" s="2395" t="n"/>
      <c r="C228" s="2440" t="s">
        <v>225</v>
      </c>
      <c r="D228" s="1241" t="n">
        <v>0</v>
      </c>
      <c r="E228" s="1241" t="n">
        <v>0</v>
      </c>
      <c r="F228" s="1241" t="n">
        <v>0</v>
      </c>
      <c r="G228" s="1241" t="n">
        <v>0</v>
      </c>
      <c r="H228" s="1241" t="n">
        <v>0</v>
      </c>
      <c r="I228" s="1241" t="n">
        <v>0</v>
      </c>
      <c r="J228" s="1241" t="n">
        <v>0</v>
      </c>
      <c r="K228" s="1241" t="n">
        <v>0</v>
      </c>
      <c r="L228" s="1241" t="n">
        <v>0</v>
      </c>
      <c r="M228" s="1241" t="n">
        <v>0</v>
      </c>
      <c r="N228" s="1241" t="n">
        <v>0</v>
      </c>
      <c r="O228" s="1242" t="n">
        <v>0</v>
      </c>
      <c r="P228" s="137" t="n"/>
    </row>
    <row customFormat="1" customHeight="1" hidden="1" ht="14.25" outlineLevel="1" r="229" s="2362" spans="1:57">
      <c r="B229" s="2395" t="n"/>
      <c r="C229" s="2396" t="s">
        <v>226</v>
      </c>
      <c r="D229" s="2414" t="n">
        <v>0.5</v>
      </c>
      <c r="E229" s="2414" t="n">
        <v>0.5</v>
      </c>
      <c r="F229" s="2414" t="n">
        <v>0.5</v>
      </c>
      <c r="G229" s="2414" t="n">
        <v>0.5</v>
      </c>
      <c r="H229" s="2414" t="n">
        <v>0.5</v>
      </c>
      <c r="I229" s="2414" t="n">
        <v>0.5</v>
      </c>
      <c r="J229" s="2414" t="n">
        <v>0.5</v>
      </c>
      <c r="K229" s="2414" t="n">
        <v>0.5</v>
      </c>
      <c r="L229" s="2414" t="n">
        <v>0.5</v>
      </c>
      <c r="M229" s="192" t="n">
        <v>0.5</v>
      </c>
      <c r="N229" s="192" t="n">
        <v>0.5</v>
      </c>
      <c r="O229" s="192" t="n">
        <v>0.5</v>
      </c>
      <c r="P229" s="137" t="n"/>
    </row>
    <row customFormat="1" customHeight="1" hidden="1" ht="14.25" outlineLevel="1" r="230" s="2362" spans="1:57">
      <c r="B230" s="2395" t="n"/>
      <c r="C230" s="2396" t="s">
        <v>227</v>
      </c>
      <c r="D230" s="192" t="n">
        <v>0</v>
      </c>
      <c r="E230" s="192" t="n">
        <v>0</v>
      </c>
      <c r="F230" s="192" t="n">
        <v>0</v>
      </c>
      <c r="G230" s="192" t="n">
        <v>0</v>
      </c>
      <c r="H230" s="192" t="n">
        <v>0</v>
      </c>
      <c r="I230" s="192" t="n">
        <v>0</v>
      </c>
      <c r="J230" s="192" t="n">
        <v>0</v>
      </c>
      <c r="K230" s="192" t="n">
        <v>0</v>
      </c>
      <c r="L230" s="192" t="n">
        <v>0</v>
      </c>
      <c r="M230" s="192" t="n">
        <v>0</v>
      </c>
      <c r="N230" s="192" t="n">
        <v>0</v>
      </c>
      <c r="O230" s="1243" t="n">
        <v>0</v>
      </c>
      <c r="P230" s="137" t="n"/>
    </row>
    <row customFormat="1" customHeight="1" hidden="1" ht="14.25" outlineLevel="1" r="231" s="2362" spans="1:57">
      <c r="B231" s="2395" t="n"/>
      <c r="C231" s="2396" t="s">
        <v>228</v>
      </c>
      <c r="D231" s="192" t="n">
        <v>0</v>
      </c>
      <c r="E231" s="192" t="n">
        <v>0</v>
      </c>
      <c r="F231" s="192" t="n">
        <v>0</v>
      </c>
      <c r="G231" s="192" t="n">
        <v>0</v>
      </c>
      <c r="H231" s="192" t="n">
        <v>0</v>
      </c>
      <c r="I231" s="192" t="n">
        <v>0</v>
      </c>
      <c r="J231" s="192" t="n">
        <v>0</v>
      </c>
      <c r="K231" s="192" t="n">
        <v>0</v>
      </c>
      <c r="L231" s="192" t="n">
        <v>0</v>
      </c>
      <c r="M231" s="192" t="n">
        <v>0</v>
      </c>
      <c r="N231" s="192" t="n">
        <v>0</v>
      </c>
      <c r="O231" s="1243" t="n">
        <v>0</v>
      </c>
      <c r="P231" s="137" t="n"/>
    </row>
    <row customFormat="1" customHeight="1" hidden="1" ht="14.25" outlineLevel="1" r="232" s="2362" spans="1:57">
      <c r="B232" s="2395" t="n"/>
      <c r="C232" s="2396" t="s">
        <v>80</v>
      </c>
      <c r="D232" s="192">
        <f>SUM(D228:D231)</f>
        <v/>
      </c>
      <c r="E232" s="192">
        <f>SUM(E228:E231)</f>
        <v/>
      </c>
      <c r="F232" s="192">
        <f>SUM(F228:F231)</f>
        <v/>
      </c>
      <c r="G232" s="192">
        <f>SUM(G228:G231)</f>
        <v/>
      </c>
      <c r="H232" s="192">
        <f>SUM(H228:H231)</f>
        <v/>
      </c>
      <c r="I232" s="192">
        <f>SUM(I228:I231)</f>
        <v/>
      </c>
      <c r="J232" s="192">
        <f>SUM(J228:J231)</f>
        <v/>
      </c>
      <c r="K232" s="192">
        <f>SUM(K228:K231)</f>
        <v/>
      </c>
      <c r="L232" s="192">
        <f>SUM(L228:L231)</f>
        <v/>
      </c>
      <c r="M232" s="192">
        <f>SUM(M228:M231)</f>
        <v/>
      </c>
      <c r="N232" s="192">
        <f>SUM(N228:N231)</f>
        <v/>
      </c>
      <c r="O232" s="1243">
        <f>SUM(O228:O231)</f>
        <v/>
      </c>
      <c r="P232" s="137" t="n"/>
    </row>
    <row customHeight="1" hidden="1" ht="14.25" outlineLevel="1" r="233" s="1843" spans="1:57">
      <c r="B233" s="2395" t="n"/>
      <c r="C233" s="2396" t="s">
        <v>206</v>
      </c>
      <c r="D233" s="1232" t="n">
        <v>0</v>
      </c>
      <c r="E233" s="1232" t="n">
        <v>0</v>
      </c>
      <c r="F233" s="1232" t="n">
        <v>0</v>
      </c>
      <c r="G233" s="1232" t="n">
        <v>0</v>
      </c>
      <c r="H233" s="1232" t="n">
        <v>0</v>
      </c>
      <c r="I233" s="1232" t="n">
        <v>0</v>
      </c>
      <c r="J233" s="1232" t="n">
        <v>0</v>
      </c>
      <c r="K233" s="1232" t="n">
        <v>0</v>
      </c>
      <c r="L233" s="1232" t="n">
        <v>0</v>
      </c>
      <c r="M233" s="1232" t="n">
        <v>0</v>
      </c>
      <c r="N233" s="1232" t="n">
        <v>0</v>
      </c>
      <c r="O233" s="1249" t="n">
        <v>0</v>
      </c>
      <c r="P233" s="1240" t="n"/>
      <c r="R233" s="2362" t="n"/>
    </row>
    <row customHeight="1" hidden="1" ht="14.25" outlineLevel="1" r="234" s="1843" spans="1:57">
      <c r="B234" s="2395" t="n"/>
      <c r="C234" s="2396" t="s">
        <v>207</v>
      </c>
      <c r="D234" s="1232">
        <f>D232-D233</f>
        <v/>
      </c>
      <c r="E234" s="1232">
        <f>E232-E233</f>
        <v/>
      </c>
      <c r="F234" s="1232">
        <f>F232-F233</f>
        <v/>
      </c>
      <c r="G234" s="1232">
        <f>G232-G233</f>
        <v/>
      </c>
      <c r="H234" s="1232">
        <f>H232-H233</f>
        <v/>
      </c>
      <c r="I234" s="1232">
        <f>I232-I233</f>
        <v/>
      </c>
      <c r="J234" s="1232">
        <f>J232-J233</f>
        <v/>
      </c>
      <c r="K234" s="1232">
        <f>K232-K233</f>
        <v/>
      </c>
      <c r="L234" s="1232">
        <f>L232-L233</f>
        <v/>
      </c>
      <c r="M234" s="1232">
        <f>M232-M233</f>
        <v/>
      </c>
      <c r="N234" s="1232">
        <f>N232-N233</f>
        <v/>
      </c>
      <c r="O234" s="1249">
        <f>O232-O233</f>
        <v/>
      </c>
      <c r="P234" s="1216" t="n"/>
      <c r="R234" s="2362" t="n"/>
    </row>
    <row customHeight="1" hidden="1" ht="14.25" outlineLevel="1" r="235" s="1843" spans="1:57">
      <c r="A235" s="2434" t="s">
        <v>157</v>
      </c>
      <c r="B235" s="2395" t="n"/>
      <c r="C235" s="2441" t="s">
        <v>208</v>
      </c>
      <c r="D235" s="1247" t="n"/>
      <c r="E235" s="1247" t="n"/>
      <c r="F235" s="1247" t="n"/>
      <c r="G235" s="1247" t="n"/>
      <c r="H235" s="1247" t="n"/>
      <c r="I235" s="1247" t="n"/>
      <c r="J235" s="1247" t="n"/>
      <c r="K235" s="1247" t="n"/>
      <c r="L235" s="1247" t="n"/>
      <c r="M235" s="1247" t="n"/>
      <c r="N235" s="1247" t="n"/>
      <c r="O235" s="1248" t="n"/>
      <c r="P235" s="1216" t="n"/>
      <c r="R235" s="2362" t="n"/>
    </row>
    <row customHeight="1" hidden="1" ht="14.25" outlineLevel="1" r="236" s="1843" spans="1:57">
      <c r="B236" s="2395" t="n"/>
      <c r="C236" s="2442" t="s">
        <v>209</v>
      </c>
      <c r="D236" s="1234">
        <f>SUMPRODUCT(('FY18 SET'!$B$4:$B67=$A$210)*('FY18 SET'!$F$4:$F67="实际OS")*('FY18 SET'!G$4:G$67))</f>
        <v/>
      </c>
      <c r="E236" s="1234">
        <f>SUMPRODUCT(('FY18 SET'!$B$4:$B67=$A$210)*('FY18 SET'!$F$4:$F67="实际OS")*('FY18 SET'!H$4:H$67))</f>
        <v/>
      </c>
      <c r="F236" s="1234">
        <f>SUMPRODUCT(('FY18 SET'!$B$4:$B67=$A$210)*('FY18 SET'!$F$4:$F67="实际OS")*('FY18 SET'!I$4:I$67))</f>
        <v/>
      </c>
      <c r="G236" s="1234">
        <f>SUMPRODUCT(('FY18 SET'!$B$4:$B67=$A$210)*('FY18 SET'!$F$4:$F67="实际OS")*('FY18 SET'!J$4:J$67))</f>
        <v/>
      </c>
      <c r="H236" s="1234">
        <f>SUMPRODUCT(('FY18 SET'!$B$4:$B67=$A$210)*('FY18 SET'!$F$4:$F67="实际OS")*('FY18 SET'!K$4:K$67))</f>
        <v/>
      </c>
      <c r="I236" s="1234">
        <f>SUMPRODUCT(('FY18 SET'!$B$4:$B67=$A$210)*('FY18 SET'!$F$4:$F67="实际OS")*('FY18 SET'!L$4:L$67))</f>
        <v/>
      </c>
      <c r="J236" s="1234">
        <f>SUMPRODUCT(('FY18 SET'!$B$4:$B67=$A$210)*('FY18 SET'!$F$4:$F67="实际OS")*('FY18 SET'!N$4:N$67))</f>
        <v/>
      </c>
      <c r="K236" s="1234">
        <f>SUMPRODUCT(('FY18 SET'!$B$4:$B67=$A$210)*('FY18 SET'!$F$4:$F67="实际OS")*('FY18 SET'!O$4:O$67))</f>
        <v/>
      </c>
      <c r="L236" s="1234">
        <f>SUMPRODUCT(('FY18 SET'!$B$4:$B67=$A$210)*('FY18 SET'!$F$4:$F67="实际OS")*('FY18 SET'!P$4:P$67))</f>
        <v/>
      </c>
      <c r="M236" s="1234">
        <f>SUMPRODUCT(('FY18 SET'!$B$4:$B67=$A$210)*('FY18 SET'!$F$4:$F67="实际OS")*('FY18 SET'!Q$4:Q$67))</f>
        <v/>
      </c>
      <c r="N236" s="1234">
        <f>SUMPRODUCT(('FY18 SET'!$B$4:$B67=$A$210)*('FY18 SET'!$F$4:$F67="实际OS")*('FY18 SET'!R$4:R$67))</f>
        <v/>
      </c>
      <c r="O236" s="1234">
        <f>SUMPRODUCT(('FY18 SET'!$B$4:$B67=$A$210)*('FY18 SET'!$F$4:$F67="实际OS")*('FY18 SET'!S$4:S$67))</f>
        <v/>
      </c>
      <c r="P236" s="1216" t="n"/>
      <c r="R236" s="2362" t="n"/>
    </row>
    <row customHeight="1" hidden="1" ht="14.25" outlineLevel="1" r="237" s="1843" spans="1:57">
      <c r="B237" s="2395" t="n"/>
      <c r="C237" s="2443" t="s">
        <v>211</v>
      </c>
      <c r="D237" s="1233">
        <f>SUM(D235:D236)</f>
        <v/>
      </c>
      <c r="E237" s="1233">
        <f>SUM(E235:E236)</f>
        <v/>
      </c>
      <c r="F237" s="1233">
        <f>SUM(F235:F236)</f>
        <v/>
      </c>
      <c r="G237" s="1233">
        <f>SUM(G235:G236)</f>
        <v/>
      </c>
      <c r="H237" s="1233">
        <f>SUM(H235:H236)</f>
        <v/>
      </c>
      <c r="I237" s="1233">
        <f>SUM(I235:I236)</f>
        <v/>
      </c>
      <c r="J237" s="1233">
        <f>SUM(J235:J236)</f>
        <v/>
      </c>
      <c r="K237" s="1233">
        <f>SUM(K235:K236)</f>
        <v/>
      </c>
      <c r="L237" s="1233">
        <f>SUM(L235:L236)</f>
        <v/>
      </c>
      <c r="M237" s="1233">
        <f>SUM(M235:M236)</f>
        <v/>
      </c>
      <c r="N237" s="1233">
        <f>SUM(N235:N236)</f>
        <v/>
      </c>
      <c r="O237" s="1250">
        <f>SUM(O235:O236)</f>
        <v/>
      </c>
      <c r="P237" s="1216" t="n"/>
    </row>
    <row customFormat="1" customHeight="1" hidden="1" ht="14.25" outlineLevel="1" r="238" s="2362" spans="1:57">
      <c r="A238" s="2416" t="s">
        <v>219</v>
      </c>
      <c r="B238" s="2417" t="n"/>
      <c r="C238" s="2444" t="s">
        <v>220</v>
      </c>
      <c r="D238" s="1278">
        <f>SUM(D233,D235)</f>
        <v/>
      </c>
      <c r="E238" s="1270">
        <f>SUM(E233,E235)</f>
        <v/>
      </c>
      <c r="F238" s="1270">
        <f>SUM(F233,F235)</f>
        <v/>
      </c>
      <c r="G238" s="1270">
        <f>SUM(G233,G235)</f>
        <v/>
      </c>
      <c r="H238" s="1270">
        <f>SUM(H233,H235)</f>
        <v/>
      </c>
      <c r="I238" s="1270">
        <f>SUM(I233,I235)</f>
        <v/>
      </c>
      <c r="J238" s="1270">
        <f>SUM(J233,J235)</f>
        <v/>
      </c>
      <c r="K238" s="1270">
        <f>SUM(K233,K235)</f>
        <v/>
      </c>
      <c r="L238" s="1270">
        <f>SUM(L233,L235)</f>
        <v/>
      </c>
      <c r="M238" s="1270">
        <f>SUM(M233,M235)</f>
        <v/>
      </c>
      <c r="N238" s="1270">
        <f>SUM(N233,N235)</f>
        <v/>
      </c>
      <c r="O238" s="1271">
        <f>SUM(O233,O235)</f>
        <v/>
      </c>
      <c r="P238" s="2445" t="n"/>
    </row>
    <row customFormat="1" customHeight="1" hidden="1" ht="14.25" outlineLevel="1" r="239" s="2362" spans="1:57">
      <c r="B239" s="2419" t="n"/>
      <c r="C239" s="2446" t="s">
        <v>221</v>
      </c>
      <c r="D239" s="1279">
        <f>SUM(D234,D236)</f>
        <v/>
      </c>
      <c r="E239" s="140">
        <f>SUM(E234,E236)</f>
        <v/>
      </c>
      <c r="F239" s="140">
        <f>SUM(F234,F236)</f>
        <v/>
      </c>
      <c r="G239" s="140">
        <f>SUM(G234,G236)</f>
        <v/>
      </c>
      <c r="H239" s="140">
        <f>SUM(H234,H236)</f>
        <v/>
      </c>
      <c r="I239" s="140">
        <f>SUM(I234,I236)</f>
        <v/>
      </c>
      <c r="J239" s="140">
        <f>SUM(J234,J236)</f>
        <v/>
      </c>
      <c r="K239" s="140">
        <f>SUM(K234,K236)</f>
        <v/>
      </c>
      <c r="L239" s="140">
        <f>SUM(L234,L236)</f>
        <v/>
      </c>
      <c r="M239" s="140">
        <f>SUM(M234,M236)</f>
        <v/>
      </c>
      <c r="N239" s="140">
        <f>SUM(N234,N236)</f>
        <v/>
      </c>
      <c r="O239" s="1273">
        <f>SUM(O234,O236)</f>
        <v/>
      </c>
      <c r="P239" s="2422" t="n"/>
    </row>
    <row customFormat="1" customHeight="1" hidden="1" ht="14.25" outlineLevel="1" r="240" s="2362" spans="1:57">
      <c r="B240" s="1274" t="n"/>
      <c r="C240" s="2447" t="s">
        <v>222</v>
      </c>
      <c r="D240" s="1280">
        <f>SUM(D238:D239)</f>
        <v/>
      </c>
      <c r="E240" s="1276">
        <f>SUM(E238:E239)</f>
        <v/>
      </c>
      <c r="F240" s="1276">
        <f>SUM(F238:F239)</f>
        <v/>
      </c>
      <c r="G240" s="1276">
        <f>SUM(G238:G239)</f>
        <v/>
      </c>
      <c r="H240" s="1276">
        <f>SUM(H238:H239)</f>
        <v/>
      </c>
      <c r="I240" s="1276">
        <f>SUM(I238:I239)</f>
        <v/>
      </c>
      <c r="J240" s="1276">
        <f>SUM(J238:J239)</f>
        <v/>
      </c>
      <c r="K240" s="1276">
        <f>SUM(K238:K239)</f>
        <v/>
      </c>
      <c r="L240" s="1276">
        <f>SUM(L238:L239)</f>
        <v/>
      </c>
      <c r="M240" s="1276">
        <f>SUM(M238:M239)</f>
        <v/>
      </c>
      <c r="N240" s="1276">
        <f>SUM(N238:N239)</f>
        <v/>
      </c>
      <c r="O240" s="1277">
        <f>SUM(O238:O239)</f>
        <v/>
      </c>
      <c r="P240" s="2422" t="n"/>
    </row>
    <row customFormat="1" customHeight="1" hidden="1" ht="14.25" outlineLevel="1" r="241" s="2362" spans="1:57">
      <c r="A241" s="2435" t="n"/>
      <c r="B241" s="1324" t="n"/>
      <c r="C241" s="2420" t="n"/>
      <c r="D241" s="140" t="n"/>
      <c r="E241" s="140" t="n"/>
      <c r="F241" s="140" t="n"/>
      <c r="G241" s="140" t="n"/>
      <c r="H241" s="140" t="n"/>
      <c r="I241" s="140" t="n"/>
      <c r="J241" s="140" t="n"/>
      <c r="K241" s="140" t="n"/>
      <c r="L241" s="140" t="n"/>
      <c r="M241" s="140" t="n"/>
      <c r="N241" s="140" t="n"/>
      <c r="O241" s="140" t="n"/>
      <c r="P241" s="2422" t="n"/>
    </row>
    <row customHeight="1" hidden="1" ht="14.25" outlineLevel="1" r="242" s="1843" spans="1:57">
      <c r="A242" s="2422" t="n"/>
      <c r="C242" s="2420" t="n"/>
      <c r="D242" s="140" t="n"/>
      <c r="E242" s="140" t="n"/>
      <c r="F242" s="140" t="n"/>
      <c r="G242" s="140" t="n"/>
      <c r="H242" s="140" t="n"/>
      <c r="I242" s="140" t="n"/>
      <c r="J242" s="140" t="n"/>
      <c r="K242" s="140" t="n"/>
      <c r="L242" s="140" t="n"/>
      <c r="M242" s="140" t="n"/>
      <c r="N242" s="140" t="n"/>
      <c r="O242" s="140" t="n"/>
      <c r="P242" s="2422" t="n"/>
      <c r="Q242" s="2362" t="n"/>
      <c r="R242" s="2362" t="n"/>
      <c r="S242" s="2362" t="n"/>
      <c r="T242" s="2362" t="n"/>
      <c r="U242" s="2362" t="n"/>
      <c r="V242" s="2362" t="n"/>
      <c r="W242" s="2362" t="n"/>
      <c r="X242" s="2362" t="n"/>
      <c r="Y242" s="2362" t="n"/>
      <c r="Z242" s="2362" t="n"/>
      <c r="AA242" s="2362" t="n"/>
      <c r="AB242" s="2362" t="n"/>
      <c r="AC242" s="2362" t="n"/>
      <c r="AD242" s="2362" t="n"/>
      <c r="AE242" s="2362" t="n"/>
    </row>
    <row customHeight="1" hidden="1" ht="15.75" outlineLevel="1" r="243" s="1843" spans="1:57">
      <c r="A243" s="2370" t="n"/>
      <c r="B243" s="80" t="n"/>
      <c r="C243" s="2371" t="n"/>
      <c r="D243" s="2372" t="n">
        <v>43191</v>
      </c>
      <c r="E243" s="2372" t="n">
        <v>43221</v>
      </c>
      <c r="F243" s="2372" t="n">
        <v>43252</v>
      </c>
      <c r="G243" s="2372" t="n">
        <v>43282</v>
      </c>
      <c r="H243" s="2372" t="n">
        <v>43313</v>
      </c>
      <c r="I243" s="2372" t="n">
        <v>43344</v>
      </c>
      <c r="J243" s="2372" t="n">
        <v>43374</v>
      </c>
      <c r="K243" s="2372" t="n">
        <v>43405</v>
      </c>
      <c r="L243" s="2372" t="n">
        <v>43435</v>
      </c>
      <c r="M243" s="2372" t="n">
        <v>43466</v>
      </c>
      <c r="N243" s="2372" t="n">
        <v>43497</v>
      </c>
      <c r="O243" s="2372" t="n">
        <v>43525</v>
      </c>
      <c r="P243" s="2373" t="s">
        <v>55</v>
      </c>
      <c r="Q243" s="2362" t="n"/>
      <c r="R243" s="2362" t="n"/>
    </row>
    <row customHeight="1" hidden="1" ht="15.75" outlineLevel="1" r="244" s="1843" spans="1:57">
      <c r="A244" s="2375" t="s">
        <v>99</v>
      </c>
      <c r="B244" s="64" t="n"/>
      <c r="C244" s="2376" t="s">
        <v>187</v>
      </c>
      <c r="D244" s="1381">
        <f>D263*D632+D264*D633+D265*D634+D266*D635</f>
        <v/>
      </c>
      <c r="E244" s="1381">
        <f>E263*E632+E264*E633+E265*E634+E266*E635</f>
        <v/>
      </c>
      <c r="F244" s="1381">
        <f>F263*F632+F264*F633+F265*F634+F266*F635</f>
        <v/>
      </c>
      <c r="G244" s="1381">
        <f>G263*G632+G264*G633+G265*G634+G266*G635</f>
        <v/>
      </c>
      <c r="H244" s="1381">
        <f>H263*H632+H264*H633+H265*H634+H266*H635</f>
        <v/>
      </c>
      <c r="I244" s="1381">
        <f>I263*I632+I264*I633+I265*I634+I266*I635</f>
        <v/>
      </c>
      <c r="J244" s="1381">
        <f>J263*J632+J264*J633+J265*J634+J266*J635</f>
        <v/>
      </c>
      <c r="K244" s="1381">
        <f>K263*K632+K264*K633+K265*K634+K266*K635</f>
        <v/>
      </c>
      <c r="L244" s="1381">
        <f>L263*L632+L264*L633+L265*L634+L266*L635</f>
        <v/>
      </c>
      <c r="M244" s="1381">
        <f>M263*M632+M264*M633+M265*M634+M266*M635</f>
        <v/>
      </c>
      <c r="N244" s="1381">
        <f>N263*N632+N264*N633+N265*N634+N266*N635</f>
        <v/>
      </c>
      <c r="O244" s="1381">
        <f>O263*O632+O264*O633+O265*O634+O266*O635</f>
        <v/>
      </c>
      <c r="P244" s="49">
        <f>SUM(D244:O244)</f>
        <v/>
      </c>
      <c r="Q244" s="2362" t="n"/>
      <c r="R244" s="2362" t="n"/>
    </row>
    <row customHeight="1" hidden="1" ht="38.25" outlineLevel="1" r="245" s="1843" spans="1:57">
      <c r="A245" s="2448" t="s">
        <v>98</v>
      </c>
      <c r="B245" s="66" t="n"/>
      <c r="C245" s="2379" t="s">
        <v>189</v>
      </c>
      <c r="D245" s="1380">
        <f>D176*D$267/D$198</f>
        <v/>
      </c>
      <c r="E245" s="1380">
        <f>E176*E$267/E$198</f>
        <v/>
      </c>
      <c r="F245" s="1380">
        <f>F176*F$267/F$198</f>
        <v/>
      </c>
      <c r="G245" s="1380">
        <f>G176*G$267/G$198</f>
        <v/>
      </c>
      <c r="H245" s="1380">
        <f>H176*H$267/H$198</f>
        <v/>
      </c>
      <c r="I245" s="1380">
        <f>I176*I$267/I$198</f>
        <v/>
      </c>
      <c r="J245" s="1380">
        <f>J176*J$267/J$198</f>
        <v/>
      </c>
      <c r="K245" s="1380">
        <f>K176*K$267/K$198</f>
        <v/>
      </c>
      <c r="L245" s="1380">
        <f>L176*L$267/L$198</f>
        <v/>
      </c>
      <c r="M245" s="1380">
        <f>M176*M$267/M$198</f>
        <v/>
      </c>
      <c r="N245" s="1380">
        <f>N176*N$267/N$198</f>
        <v/>
      </c>
      <c r="O245" s="1380">
        <f>O176*O$267/O$198</f>
        <v/>
      </c>
      <c r="P245" s="46">
        <f>SUM(D245:O245)</f>
        <v/>
      </c>
      <c r="Q245" s="2362" t="n"/>
      <c r="R245" s="2362" t="n"/>
    </row>
    <row customHeight="1" hidden="1" ht="15.75" outlineLevel="1" r="246" s="1843" spans="1:57">
      <c r="A246" s="2403" t="n"/>
      <c r="B246" s="66" t="n"/>
      <c r="C246" s="2379" t="s">
        <v>212</v>
      </c>
      <c r="D246" s="1380">
        <f>D177*D$267/D$198</f>
        <v/>
      </c>
      <c r="E246" s="1380">
        <f>E177*E$267/E$198</f>
        <v/>
      </c>
      <c r="F246" s="1380">
        <f>F177*F$267/F$198</f>
        <v/>
      </c>
      <c r="G246" s="1380">
        <f>G177*G$267/G$198</f>
        <v/>
      </c>
      <c r="H246" s="1380">
        <f>H177*H$267/H$198</f>
        <v/>
      </c>
      <c r="I246" s="1380">
        <f>I177*I$267/I$198</f>
        <v/>
      </c>
      <c r="J246" s="1380">
        <f>J177*J$267/J$198</f>
        <v/>
      </c>
      <c r="K246" s="1380">
        <f>K177*K$267/K$198</f>
        <v/>
      </c>
      <c r="L246" s="1380">
        <f>L177*L$267/L$198</f>
        <v/>
      </c>
      <c r="M246" s="1380">
        <f>M177*M$267/M$198</f>
        <v/>
      </c>
      <c r="N246" s="1380">
        <f>N177*N$267/N$198</f>
        <v/>
      </c>
      <c r="O246" s="1380">
        <f>O177*O$267/O$198</f>
        <v/>
      </c>
      <c r="P246" s="46">
        <f>SUM(D246:O246)</f>
        <v/>
      </c>
      <c r="Q246" s="2362" t="n"/>
      <c r="R246" s="2362" t="n"/>
    </row>
    <row customHeight="1" hidden="1" ht="14.25" outlineLevel="1" r="247" s="1843" spans="1:57">
      <c r="A247" s="2381" t="n"/>
      <c r="B247" s="66" t="n"/>
      <c r="C247" s="2379" t="s">
        <v>191</v>
      </c>
      <c r="D247" s="1380">
        <f>D178*D$267/D$198</f>
        <v/>
      </c>
      <c r="E247" s="1380">
        <f>E178*E$267/E$198</f>
        <v/>
      </c>
      <c r="F247" s="1380">
        <f>F178*F$267/F$198</f>
        <v/>
      </c>
      <c r="G247" s="1380">
        <f>G178*G$267/G$198</f>
        <v/>
      </c>
      <c r="H247" s="1380">
        <f>H178*H$267/H$198</f>
        <v/>
      </c>
      <c r="I247" s="1380">
        <f>I178*I$267/I$198</f>
        <v/>
      </c>
      <c r="J247" s="1380">
        <f>J178*J$267/J$198</f>
        <v/>
      </c>
      <c r="K247" s="1380">
        <f>K178*K$267/K$198</f>
        <v/>
      </c>
      <c r="L247" s="1380">
        <f>L178*L$267/L$198</f>
        <v/>
      </c>
      <c r="M247" s="1380">
        <f>M178*M$267/M$198</f>
        <v/>
      </c>
      <c r="N247" s="1380">
        <f>N178*N$267/N$198</f>
        <v/>
      </c>
      <c r="O247" s="1380">
        <f>O178*O$267/O$198</f>
        <v/>
      </c>
      <c r="P247" s="46">
        <f>SUM(D247:O247)</f>
        <v/>
      </c>
      <c r="Q247" s="2362" t="n"/>
      <c r="R247" s="2362" t="n"/>
    </row>
    <row customHeight="1" hidden="1" ht="14.25" outlineLevel="1" r="248" s="1843" spans="1:57">
      <c r="A248" s="2381" t="n"/>
      <c r="B248" s="66" t="n"/>
      <c r="C248" s="2379" t="s">
        <v>192</v>
      </c>
      <c r="D248" s="1380">
        <f>D179*D$267/D$198</f>
        <v/>
      </c>
      <c r="E248" s="1380">
        <f>E179*E$267/E$198</f>
        <v/>
      </c>
      <c r="F248" s="1380">
        <f>F179*F$267/F$198</f>
        <v/>
      </c>
      <c r="G248" s="1380">
        <f>G179*G$267/G$198</f>
        <v/>
      </c>
      <c r="H248" s="1380">
        <f>H179*H$267/H$198</f>
        <v/>
      </c>
      <c r="I248" s="1380">
        <f>I179*I$267/I$198</f>
        <v/>
      </c>
      <c r="J248" s="1380">
        <f>J179*J$267/J$198</f>
        <v/>
      </c>
      <c r="K248" s="1380">
        <f>K179*K$267/K$198</f>
        <v/>
      </c>
      <c r="L248" s="1380">
        <f>L179*L$267/L$198</f>
        <v/>
      </c>
      <c r="M248" s="1380">
        <f>M179*M$267/M$198</f>
        <v/>
      </c>
      <c r="N248" s="1380">
        <f>N179*N$267/N$198</f>
        <v/>
      </c>
      <c r="O248" s="1380">
        <f>O179*O$267/O$198</f>
        <v/>
      </c>
      <c r="P248" s="46">
        <f>SUM(D248:O248)</f>
        <v/>
      </c>
      <c r="Q248" s="2362" t="n"/>
      <c r="R248" s="2362" t="n"/>
    </row>
    <row customHeight="1" hidden="1" ht="14.25" outlineLevel="1" r="249" s="1843" spans="1:57">
      <c r="A249" s="2381" t="n"/>
      <c r="B249" s="66" t="n"/>
      <c r="C249" s="2379" t="s">
        <v>213</v>
      </c>
      <c r="D249" s="1380">
        <f>D180*D$267/D$198</f>
        <v/>
      </c>
      <c r="E249" s="1380">
        <f>E180*E$267/E$198</f>
        <v/>
      </c>
      <c r="F249" s="1380">
        <f>F180*F$267/F$198</f>
        <v/>
      </c>
      <c r="G249" s="1380">
        <f>G180*G$267/G$198</f>
        <v/>
      </c>
      <c r="H249" s="1380">
        <f>H180*H$267/H$198</f>
        <v/>
      </c>
      <c r="I249" s="1380">
        <f>I180*I$267/I$198</f>
        <v/>
      </c>
      <c r="J249" s="1380">
        <f>J180*J$267/J$198</f>
        <v/>
      </c>
      <c r="K249" s="1380">
        <f>K180*K$267/K$198</f>
        <v/>
      </c>
      <c r="L249" s="1380">
        <f>L180*L$267/L$198</f>
        <v/>
      </c>
      <c r="M249" s="1380">
        <f>M180*M$267/M$198</f>
        <v/>
      </c>
      <c r="N249" s="1380">
        <f>N180*N$267/N$198</f>
        <v/>
      </c>
      <c r="O249" s="1380">
        <f>O180*O$267/O$198</f>
        <v/>
      </c>
      <c r="P249" s="47">
        <f>SUM(D249:O249)</f>
        <v/>
      </c>
      <c r="Q249" s="2362" t="n"/>
      <c r="R249" s="2362" t="n"/>
    </row>
    <row customHeight="1" hidden="1" ht="14.25" outlineLevel="1" r="250" s="1843" spans="1:57">
      <c r="A250" s="2381" t="n"/>
      <c r="B250" s="123" t="n"/>
      <c r="C250" s="2382" t="s">
        <v>195</v>
      </c>
      <c r="D250" s="1380">
        <f>D181*D$267/D$198</f>
        <v/>
      </c>
      <c r="E250" s="1380">
        <f>E181*E$267/E$198</f>
        <v/>
      </c>
      <c r="F250" s="1380">
        <f>F181*F$267/F$198</f>
        <v/>
      </c>
      <c r="G250" s="1380">
        <f>G181*G$267/G$198</f>
        <v/>
      </c>
      <c r="H250" s="1380">
        <f>H181*H$267/H$198</f>
        <v/>
      </c>
      <c r="I250" s="1380">
        <f>I181*I$267/I$198</f>
        <v/>
      </c>
      <c r="J250" s="1380">
        <f>J181*J$267/J$198</f>
        <v/>
      </c>
      <c r="K250" s="1380">
        <f>K181*K$267/K$198</f>
        <v/>
      </c>
      <c r="L250" s="1380">
        <f>L181*L$267/L$198</f>
        <v/>
      </c>
      <c r="M250" s="1380">
        <f>M181*M$267/M$198</f>
        <v/>
      </c>
      <c r="N250" s="1380">
        <f>N181*N$267/N$198</f>
        <v/>
      </c>
      <c r="O250" s="1380">
        <f>O181*O$267/O$198</f>
        <v/>
      </c>
      <c r="P250" s="46">
        <f>SUM(D250:O250)</f>
        <v/>
      </c>
      <c r="Q250" s="2362" t="n"/>
      <c r="R250" s="2362" t="n"/>
    </row>
    <row customHeight="1" hidden="1" ht="14.25" outlineLevel="1" r="251" s="1843" spans="1:57">
      <c r="A251" s="2381" t="n"/>
      <c r="B251" s="70" t="s">
        <v>214</v>
      </c>
      <c r="C251" s="2406" t="n"/>
      <c r="D251" s="73">
        <f>SUM(D244:D250)</f>
        <v/>
      </c>
      <c r="E251" s="73">
        <f>SUM(E244:E250)</f>
        <v/>
      </c>
      <c r="F251" s="73">
        <f>SUM(F244:F250)</f>
        <v/>
      </c>
      <c r="G251" s="73">
        <f>SUM(G244:G250)</f>
        <v/>
      </c>
      <c r="H251" s="73">
        <f>SUM(H244:H250)</f>
        <v/>
      </c>
      <c r="I251" s="73">
        <f>SUM(I244:I250)</f>
        <v/>
      </c>
      <c r="J251" s="73">
        <f>SUM(J244:J250)</f>
        <v/>
      </c>
      <c r="K251" s="73">
        <f>SUM(K244:K250)</f>
        <v/>
      </c>
      <c r="L251" s="73">
        <f>SUM(L244:L250)</f>
        <v/>
      </c>
      <c r="M251" s="73">
        <f>SUM(M244:M250)</f>
        <v/>
      </c>
      <c r="N251" s="73">
        <f>SUM(N244:N250)</f>
        <v/>
      </c>
      <c r="O251" s="73">
        <f>SUM(O244:O250)</f>
        <v/>
      </c>
      <c r="P251" s="76">
        <f>SUM(D251:O251)</f>
        <v/>
      </c>
      <c r="Q251" s="2362" t="n"/>
      <c r="R251" s="2362" t="n"/>
    </row>
    <row customHeight="1" hidden="1" ht="14.25" outlineLevel="1" r="252" s="1843" spans="1:57">
      <c r="A252" s="2407" t="n"/>
      <c r="B252" s="123" t="n"/>
      <c r="C252" s="2385" t="s">
        <v>161</v>
      </c>
      <c r="D252" s="962">
        <f>D183*D$275/D$206</f>
        <v/>
      </c>
      <c r="E252" s="962">
        <f>E183*E$275/E$206</f>
        <v/>
      </c>
      <c r="F252" s="962">
        <f>F183*F$275/F$206</f>
        <v/>
      </c>
      <c r="G252" s="962">
        <f>G183*G$275/G$206</f>
        <v/>
      </c>
      <c r="H252" s="962">
        <f>H183*H$275/H$206</f>
        <v/>
      </c>
      <c r="I252" s="962">
        <f>I183*I$275/I$206</f>
        <v/>
      </c>
      <c r="J252" s="962">
        <f>J183*J$275/J$206</f>
        <v/>
      </c>
      <c r="K252" s="962">
        <f>K183*K$275/K$206</f>
        <v/>
      </c>
      <c r="L252" s="962">
        <f>L183*L$275/L$206</f>
        <v/>
      </c>
      <c r="M252" s="962">
        <f>M183*M$275/M$206</f>
        <v/>
      </c>
      <c r="N252" s="962">
        <f>N183*N$275/N$206</f>
        <v/>
      </c>
      <c r="O252" s="962">
        <f>O183*O$275/O$206</f>
        <v/>
      </c>
      <c r="P252" s="85">
        <f>SUM(D252:O252)</f>
        <v/>
      </c>
      <c r="Q252" s="2362" t="n"/>
      <c r="R252" s="2362" t="n"/>
      <c r="S252" s="2362" t="n"/>
      <c r="T252" s="2362" t="n"/>
      <c r="U252" s="2362" t="n"/>
      <c r="V252" s="2362" t="n"/>
      <c r="W252" s="2362" t="n"/>
      <c r="X252" s="2362" t="n"/>
      <c r="Y252" s="2362" t="n"/>
      <c r="Z252" s="2362" t="n"/>
      <c r="AA252" s="2362" t="n"/>
      <c r="AB252" s="2362" t="n"/>
      <c r="AC252" s="2362" t="n"/>
      <c r="AD252" s="2362" t="n"/>
      <c r="AE252" s="2362" t="n"/>
    </row>
    <row customHeight="1" hidden="1" ht="14.25" outlineLevel="1" r="253" s="1843" spans="1:57">
      <c r="A253" s="2407" t="n"/>
      <c r="B253" s="123" t="n"/>
      <c r="C253" s="2385" t="s">
        <v>215</v>
      </c>
      <c r="D253" s="962">
        <f>D184*D$267/D$198</f>
        <v/>
      </c>
      <c r="E253" s="962">
        <f>E184*E$267/E$198</f>
        <v/>
      </c>
      <c r="F253" s="962">
        <f>F184*F$267/F$198</f>
        <v/>
      </c>
      <c r="G253" s="962">
        <f>G184*G$267/G$198</f>
        <v/>
      </c>
      <c r="H253" s="962">
        <f>H184*H$267/H$198</f>
        <v/>
      </c>
      <c r="I253" s="962">
        <f>I184*I$267/I$198</f>
        <v/>
      </c>
      <c r="J253" s="962">
        <f>J184*J$267/J$198</f>
        <v/>
      </c>
      <c r="K253" s="962">
        <f>K184*K$267/K$198</f>
        <v/>
      </c>
      <c r="L253" s="962">
        <f>L184*L$267/L$198</f>
        <v/>
      </c>
      <c r="M253" s="962">
        <f>M184*M$267/M$198</f>
        <v/>
      </c>
      <c r="N253" s="962">
        <f>N184*N$267/N$198</f>
        <v/>
      </c>
      <c r="O253" s="962">
        <f>O184*O$267/O$198</f>
        <v/>
      </c>
      <c r="P253" s="85">
        <f>SUM(D253:O253)</f>
        <v/>
      </c>
      <c r="Q253" s="2362" t="n"/>
      <c r="R253" s="2362" t="n"/>
      <c r="S253" s="2362" t="n"/>
      <c r="T253" s="2362" t="n"/>
      <c r="U253" s="2362" t="n"/>
      <c r="V253" s="2362" t="n"/>
      <c r="W253" s="2362" t="n"/>
      <c r="X253" s="2362" t="n"/>
      <c r="Y253" s="2362" t="n"/>
      <c r="Z253" s="2362" t="n"/>
      <c r="AA253" s="2362" t="n"/>
      <c r="AB253" s="2362" t="n"/>
      <c r="AC253" s="2362" t="n"/>
      <c r="AD253" s="2362" t="n"/>
      <c r="AE253" s="2362" t="n"/>
    </row>
    <row customHeight="1" hidden="1" ht="14.25" outlineLevel="1" r="254" s="1843" spans="1:57">
      <c r="A254" s="2407" t="n"/>
      <c r="B254" s="1171" t="n"/>
      <c r="C254" s="2386" t="s">
        <v>197</v>
      </c>
      <c r="D254" s="87">
        <f>D185*D$273/D$204</f>
        <v/>
      </c>
      <c r="E254" s="87">
        <f>E185*E$273/E$204</f>
        <v/>
      </c>
      <c r="F254" s="87">
        <f>F185*F$273/F$204</f>
        <v/>
      </c>
      <c r="G254" s="87">
        <f>G185*G$273/G$204</f>
        <v/>
      </c>
      <c r="H254" s="87">
        <f>H185*H$273/H$204</f>
        <v/>
      </c>
      <c r="I254" s="87">
        <f>I185*I$273/I$204</f>
        <v/>
      </c>
      <c r="J254" s="87">
        <f>J185*J$273/J$204</f>
        <v/>
      </c>
      <c r="K254" s="87">
        <f>K185*K$273/K$204</f>
        <v/>
      </c>
      <c r="L254" s="87">
        <f>L185*L$273/L$204</f>
        <v/>
      </c>
      <c r="M254" s="87">
        <f>M185*M$273/M$204</f>
        <v/>
      </c>
      <c r="N254" s="87">
        <f>N185*N$273/N$204</f>
        <v/>
      </c>
      <c r="O254" s="87">
        <f>O185*O$273/O$204</f>
        <v/>
      </c>
      <c r="P254" s="85">
        <f>SUM(D254:O254)</f>
        <v/>
      </c>
      <c r="Q254" s="2362" t="n"/>
      <c r="R254" s="2362" t="n"/>
      <c r="S254" s="2362" t="n"/>
      <c r="T254" s="2362" t="n"/>
      <c r="U254" s="2362" t="n"/>
      <c r="V254" s="2362" t="n"/>
      <c r="W254" s="2362" t="n"/>
      <c r="X254" s="2362" t="n"/>
      <c r="Y254" s="2362" t="n"/>
      <c r="Z254" s="2362" t="n"/>
      <c r="AA254" s="2362" t="n"/>
      <c r="AB254" s="2362" t="n"/>
      <c r="AC254" s="2362" t="n"/>
      <c r="AD254" s="2362" t="n"/>
      <c r="AE254" s="2362" t="n"/>
    </row>
    <row customHeight="1" hidden="1" ht="14.25" outlineLevel="1" r="255" s="1843" spans="1:57">
      <c r="A255" s="2407" t="n"/>
      <c r="B255" s="123" t="n"/>
      <c r="C255" s="2386" t="s">
        <v>198</v>
      </c>
      <c r="D255" s="87">
        <f>D186*D$274/D$205</f>
        <v/>
      </c>
      <c r="E255" s="87">
        <f>E186*E$274/E$205</f>
        <v/>
      </c>
      <c r="F255" s="87">
        <f>F186*F$274/F$205</f>
        <v/>
      </c>
      <c r="G255" s="87">
        <f>G186*G$274/G$205</f>
        <v/>
      </c>
      <c r="H255" s="87">
        <f>H186*H$274/H$205</f>
        <v/>
      </c>
      <c r="I255" s="87">
        <f>I186*I$274/I$205</f>
        <v/>
      </c>
      <c r="J255" s="87">
        <f>J186*J$274/J$205</f>
        <v/>
      </c>
      <c r="K255" s="87">
        <f>K186*K$274/K$205</f>
        <v/>
      </c>
      <c r="L255" s="87">
        <f>L186*L$274/L$205</f>
        <v/>
      </c>
      <c r="M255" s="87">
        <f>M186*M$274/M$205</f>
        <v/>
      </c>
      <c r="N255" s="87">
        <f>N186*N$274/N$205</f>
        <v/>
      </c>
      <c r="O255" s="87">
        <f>O186*O$274/O$205</f>
        <v/>
      </c>
      <c r="P255" s="85">
        <f>SUM(D255:O255)</f>
        <v/>
      </c>
      <c r="Q255" s="2362" t="n"/>
      <c r="R255" s="2362" t="n"/>
      <c r="S255" s="2362" t="n"/>
      <c r="T255" s="2362" t="n"/>
      <c r="U255" s="2362" t="n"/>
      <c r="V255" s="2362" t="n"/>
      <c r="W255" s="2362" t="n"/>
      <c r="X255" s="2362" t="n"/>
      <c r="Y255" s="2362" t="n"/>
      <c r="Z255" s="2362" t="n"/>
      <c r="AA255" s="2362" t="n"/>
      <c r="AB255" s="2362" t="n"/>
      <c r="AC255" s="2362" t="n"/>
      <c r="AD255" s="2362" t="n"/>
      <c r="AE255" s="2362" t="n"/>
    </row>
    <row customFormat="1" customHeight="1" hidden="1" ht="14.25" outlineLevel="1" r="256" s="2437" spans="1:57">
      <c r="A256" s="2407" t="n"/>
      <c r="B256" s="123" t="n"/>
      <c r="C256" s="2385" t="s">
        <v>199</v>
      </c>
      <c r="D256" s="87">
        <f>D187*D$273/D$204</f>
        <v/>
      </c>
      <c r="E256" s="87">
        <f>E187*E$273/E$204</f>
        <v/>
      </c>
      <c r="F256" s="87">
        <f>F187*F$273/F$204</f>
        <v/>
      </c>
      <c r="G256" s="87">
        <f>G187*G$273/G$204</f>
        <v/>
      </c>
      <c r="H256" s="87">
        <f>H187*H$273/H$204</f>
        <v/>
      </c>
      <c r="I256" s="87">
        <f>I187*I$273/I$204</f>
        <v/>
      </c>
      <c r="J256" s="87">
        <f>J187*J$273/J$204</f>
        <v/>
      </c>
      <c r="K256" s="87">
        <f>K187*K$273/K$204</f>
        <v/>
      </c>
      <c r="L256" s="87">
        <f>L187*L$273/L$204</f>
        <v/>
      </c>
      <c r="M256" s="87">
        <f>M187*M$273/M$204</f>
        <v/>
      </c>
      <c r="N256" s="87">
        <f>N187*N$273/N$204</f>
        <v/>
      </c>
      <c r="O256" s="87">
        <f>O187*O$273/O$204</f>
        <v/>
      </c>
      <c r="P256" s="85">
        <f>SUM(D256:O256)</f>
        <v/>
      </c>
      <c r="Q256" s="2362" t="n"/>
      <c r="R256" s="2362" t="n"/>
      <c r="S256" s="2362" t="n"/>
      <c r="T256" s="2362" t="n"/>
      <c r="U256" s="2362" t="n"/>
      <c r="V256" s="2362" t="n"/>
      <c r="W256" s="2362" t="n"/>
      <c r="X256" s="2362" t="n"/>
      <c r="Y256" s="2362" t="n"/>
      <c r="Z256" s="2362" t="n"/>
      <c r="AA256" s="2362" t="n"/>
      <c r="AB256" s="2362" t="n"/>
      <c r="AC256" s="2362" t="n"/>
      <c r="AD256" s="2362" t="n"/>
      <c r="AE256" s="2362" t="n"/>
      <c r="AF256" s="2362" t="n"/>
      <c r="AG256" s="2362" t="n"/>
      <c r="AH256" s="2362" t="n"/>
      <c r="AI256" s="2362" t="n"/>
      <c r="AJ256" s="2362" t="n"/>
      <c r="AK256" s="2362" t="n"/>
      <c r="AL256" s="2362" t="n"/>
      <c r="AM256" s="2362" t="n"/>
      <c r="AN256" s="2362" t="n"/>
      <c r="AO256" s="2362" t="n"/>
      <c r="AP256" s="2362" t="n"/>
      <c r="AQ256" s="2362" t="n"/>
      <c r="AR256" s="2362" t="n"/>
      <c r="AS256" s="2362" t="n"/>
      <c r="AT256" s="2362" t="n"/>
      <c r="AU256" s="2362" t="n"/>
      <c r="AV256" s="2362" t="n"/>
      <c r="AW256" s="2362" t="n"/>
      <c r="AX256" s="2362" t="n"/>
      <c r="AY256" s="2362" t="n"/>
      <c r="AZ256" s="2362" t="n"/>
      <c r="BA256" s="2362" t="n"/>
      <c r="BB256" s="2362" t="n"/>
      <c r="BC256" s="2362" t="n"/>
      <c r="BD256" s="2362" t="n"/>
      <c r="BE256" s="2362" t="n"/>
    </row>
    <row customFormat="1" customHeight="1" hidden="1" ht="14.25" outlineLevel="1" r="257" s="2437" spans="1:57">
      <c r="A257" s="2407" t="n"/>
      <c r="B257" s="123" t="n"/>
      <c r="C257" s="2385" t="s">
        <v>200</v>
      </c>
      <c r="D257" s="87">
        <f>D188*D$274/D$205</f>
        <v/>
      </c>
      <c r="E257" s="87">
        <f>E188*E$274/E$205</f>
        <v/>
      </c>
      <c r="F257" s="87">
        <f>F188*F$274/F$205</f>
        <v/>
      </c>
      <c r="G257" s="87">
        <f>G188*G$274/G$205</f>
        <v/>
      </c>
      <c r="H257" s="87">
        <f>H188*H$274/H$205</f>
        <v/>
      </c>
      <c r="I257" s="87">
        <f>I188*I$274/I$205</f>
        <v/>
      </c>
      <c r="J257" s="87">
        <f>J188*J$274/J$205</f>
        <v/>
      </c>
      <c r="K257" s="87">
        <f>K188*K$274/K$205</f>
        <v/>
      </c>
      <c r="L257" s="87">
        <f>L188*L$274/L$205</f>
        <v/>
      </c>
      <c r="M257" s="87">
        <f>M188*M$274/M$205</f>
        <v/>
      </c>
      <c r="N257" s="87">
        <f>N188*N$274/N$205</f>
        <v/>
      </c>
      <c r="O257" s="87">
        <f>O188*O$274/O$205</f>
        <v/>
      </c>
      <c r="P257" s="85">
        <f>SUM(D257:O257)</f>
        <v/>
      </c>
      <c r="Q257" s="2362" t="n"/>
      <c r="R257" s="2362" t="n"/>
      <c r="S257" s="2362" t="n"/>
      <c r="T257" s="2362" t="n"/>
      <c r="U257" s="2362" t="n"/>
      <c r="V257" s="2362" t="n"/>
      <c r="W257" s="2362" t="n"/>
      <c r="X257" s="2362" t="n"/>
      <c r="Y257" s="2362" t="n"/>
      <c r="Z257" s="2362" t="n"/>
      <c r="AA257" s="2362" t="n"/>
      <c r="AB257" s="2362" t="n"/>
      <c r="AC257" s="2362" t="n"/>
      <c r="AD257" s="2362" t="n"/>
      <c r="AE257" s="2362" t="n"/>
      <c r="AF257" s="2362" t="n"/>
      <c r="AG257" s="2362" t="n"/>
      <c r="AH257" s="2362" t="n"/>
      <c r="AI257" s="2362" t="n"/>
      <c r="AJ257" s="2362" t="n"/>
      <c r="AK257" s="2362" t="n"/>
      <c r="AL257" s="2362" t="n"/>
      <c r="AM257" s="2362" t="n"/>
      <c r="AN257" s="2362" t="n"/>
      <c r="AO257" s="2362" t="n"/>
      <c r="AP257" s="2362" t="n"/>
      <c r="AQ257" s="2362" t="n"/>
      <c r="AR257" s="2362" t="n"/>
      <c r="AS257" s="2362" t="n"/>
      <c r="AT257" s="2362" t="n"/>
      <c r="AU257" s="2362" t="n"/>
      <c r="AV257" s="2362" t="n"/>
      <c r="AW257" s="2362" t="n"/>
      <c r="AX257" s="2362" t="n"/>
      <c r="AY257" s="2362" t="n"/>
      <c r="AZ257" s="2362" t="n"/>
      <c r="BA257" s="2362" t="n"/>
      <c r="BB257" s="2362" t="n"/>
      <c r="BC257" s="2362" t="n"/>
      <c r="BD257" s="2362" t="n"/>
      <c r="BE257" s="2362" t="n"/>
    </row>
    <row customFormat="1" customHeight="1" hidden="1" ht="14.25" outlineLevel="1" r="258" s="2369" spans="1:57">
      <c r="A258" s="2408" t="n"/>
      <c r="B258" s="71" t="n"/>
      <c r="C258" s="2385" t="s">
        <v>201</v>
      </c>
      <c r="D258" s="87">
        <f>D189*D$275/D$206</f>
        <v/>
      </c>
      <c r="E258" s="87">
        <f>E189*E$275/E$206</f>
        <v/>
      </c>
      <c r="F258" s="87">
        <f>F189*F$275/F$206</f>
        <v/>
      </c>
      <c r="G258" s="87">
        <f>G189*G$275/G$206</f>
        <v/>
      </c>
      <c r="H258" s="87">
        <f>H189*H$275/H$206</f>
        <v/>
      </c>
      <c r="I258" s="87">
        <f>I189*I$275/I$206</f>
        <v/>
      </c>
      <c r="J258" s="87">
        <f>J189*J$275/J$206</f>
        <v/>
      </c>
      <c r="K258" s="87">
        <f>K189*K$275/K$206</f>
        <v/>
      </c>
      <c r="L258" s="87">
        <f>L189*L$275/L$206</f>
        <v/>
      </c>
      <c r="M258" s="87">
        <f>M189*M$275/M$206</f>
        <v/>
      </c>
      <c r="N258" s="87">
        <f>N189*N$275/N$206</f>
        <v/>
      </c>
      <c r="O258" s="87">
        <f>O189*O$275/O$206</f>
        <v/>
      </c>
      <c r="P258" s="85">
        <f>SUM(D258:O258)</f>
        <v/>
      </c>
      <c r="Q258" s="2362" t="n"/>
      <c r="R258" s="2362" t="n"/>
      <c r="S258" s="2422" t="n"/>
      <c r="T258" s="2422" t="n"/>
      <c r="U258" s="2422" t="n"/>
      <c r="V258" s="2422" t="n"/>
      <c r="W258" s="2422" t="n"/>
      <c r="X258" s="2422" t="n"/>
      <c r="Y258" s="2422" t="n"/>
      <c r="Z258" s="2422" t="n"/>
      <c r="AA258" s="2422" t="n"/>
      <c r="AB258" s="2422" t="n"/>
      <c r="AC258" s="2422" t="n"/>
      <c r="AD258" s="2422" t="n"/>
      <c r="AE258" s="2422" t="n"/>
      <c r="AF258" s="2422" t="n"/>
      <c r="AG258" s="2422" t="n"/>
      <c r="AH258" s="2422" t="n"/>
      <c r="AI258" s="2422" t="n"/>
      <c r="AJ258" s="2422" t="n"/>
      <c r="AK258" s="2422" t="n"/>
      <c r="AL258" s="2422" t="n"/>
      <c r="AM258" s="2422" t="n"/>
      <c r="AN258" s="2422" t="n"/>
      <c r="AO258" s="2422" t="n"/>
      <c r="AP258" s="2422" t="n"/>
      <c r="AQ258" s="2422" t="n"/>
      <c r="AR258" s="2422" t="n"/>
      <c r="AS258" s="2422" t="n"/>
    </row>
    <row customHeight="1" hidden="1" ht="36" outlineLevel="1" r="259" s="1843" spans="1:57">
      <c r="A259" s="2408" t="n"/>
      <c r="B259" s="1171" t="n"/>
      <c r="C259" s="2387" t="s">
        <v>202</v>
      </c>
      <c r="D259" s="87">
        <f>D190*D$274/D$205</f>
        <v/>
      </c>
      <c r="E259" s="87">
        <f>E190*E$274/E$205</f>
        <v/>
      </c>
      <c r="F259" s="87">
        <f>F190*F$274/F$205</f>
        <v/>
      </c>
      <c r="G259" s="87">
        <f>G190*G$274/G$205</f>
        <v/>
      </c>
      <c r="H259" s="87">
        <f>H190*H$274/H$205</f>
        <v/>
      </c>
      <c r="I259" s="87">
        <f>I190*I$274/I$205</f>
        <v/>
      </c>
      <c r="J259" s="87">
        <f>J190*J$274/J$205</f>
        <v/>
      </c>
      <c r="K259" s="87">
        <f>K190*K$274/K$205</f>
        <v/>
      </c>
      <c r="L259" s="87">
        <f>L190*L$274/L$205</f>
        <v/>
      </c>
      <c r="M259" s="87">
        <f>M190*M$274/M$205</f>
        <v/>
      </c>
      <c r="N259" s="87">
        <f>N190*N$274/N$205</f>
        <v/>
      </c>
      <c r="O259" s="87">
        <f>O190*O$274/O$205</f>
        <v/>
      </c>
      <c r="P259" s="85">
        <f>SUM(D259:O259)</f>
        <v/>
      </c>
      <c r="Q259" s="2362" t="n"/>
      <c r="R259" s="2362" t="n"/>
      <c r="S259" s="2362" t="n"/>
      <c r="T259" s="2362" t="n"/>
      <c r="U259" s="2362" t="n"/>
      <c r="V259" s="2362" t="n"/>
      <c r="W259" s="2362" t="n"/>
      <c r="X259" s="2362" t="n"/>
      <c r="Y259" s="2362" t="n"/>
      <c r="Z259" s="2362" t="n"/>
      <c r="AA259" s="2362" t="n"/>
      <c r="AB259" s="2362" t="n"/>
      <c r="AC259" s="2362" t="n"/>
      <c r="AD259" s="2362" t="n"/>
      <c r="AE259" s="2362" t="n"/>
      <c r="AF259" s="2362" t="n"/>
      <c r="AG259" s="2362" t="n"/>
      <c r="AH259" s="2362" t="n"/>
      <c r="AI259" s="2362" t="n"/>
      <c r="AJ259" s="2362" t="n"/>
      <c r="AK259" s="2362" t="n"/>
      <c r="AL259" s="2362" t="n"/>
      <c r="AM259" s="2362" t="n"/>
      <c r="AN259" s="2362" t="n"/>
      <c r="AO259" s="2362" t="n"/>
      <c r="AP259" s="2362" t="n"/>
      <c r="AQ259" s="2362" t="n"/>
      <c r="AR259" s="2362" t="n"/>
      <c r="AS259" s="2362" t="n"/>
    </row>
    <row customHeight="1" hidden="1" ht="14.25" outlineLevel="1" r="260" s="1843" spans="1:57">
      <c r="A260" s="2407" t="n"/>
      <c r="B260" s="139" t="n"/>
      <c r="C260" s="2439" t="s">
        <v>216</v>
      </c>
      <c r="D260" s="1187">
        <f>D$191*SUM(D$267,D$272)/SUM(D$198,D$203)</f>
        <v/>
      </c>
      <c r="E260" s="1187">
        <f>E$191*SUM(E$267,E$272)/SUM(E$198,E$203)</f>
        <v/>
      </c>
      <c r="F260" s="1187">
        <f>F$191*SUM(F$267,F$272)/SUM(F$198,F$203)</f>
        <v/>
      </c>
      <c r="G260" s="1187">
        <f>G$191*SUM(G$267,G$272)/SUM(G$198,G$203)</f>
        <v/>
      </c>
      <c r="H260" s="1187">
        <f>H$191*SUM(H$267,H$272)/SUM(H$198,H$203)</f>
        <v/>
      </c>
      <c r="I260" s="1187">
        <f>I$191*SUM(I$267,I$272)/SUM(I$198,I$203)</f>
        <v/>
      </c>
      <c r="J260" s="1187">
        <f>J$191*SUM(J$267,J$272)/SUM(J$198,J$203)</f>
        <v/>
      </c>
      <c r="K260" s="1187">
        <f>K$191*SUM(K$267,K$272)/SUM(K$198,K$203)</f>
        <v/>
      </c>
      <c r="L260" s="1187">
        <f>L$191*SUM(L$267,L$272)/SUM(L$198,L$203)</f>
        <v/>
      </c>
      <c r="M260" s="1187">
        <f>M$191*SUM(M$267,M$272)/SUM(M$198,M$203)</f>
        <v/>
      </c>
      <c r="N260" s="1187">
        <f>N$191*SUM(N$267,N$272)/SUM(N$198,N$203)</f>
        <v/>
      </c>
      <c r="O260" s="1187">
        <f>O$191*SUM(O$267,O$272)/SUM(O$198,O$203)</f>
        <v/>
      </c>
      <c r="P260" s="1173">
        <f>SUM(D260:O260)</f>
        <v/>
      </c>
      <c r="Q260" s="2362" t="n"/>
      <c r="R260" s="2362" t="n"/>
      <c r="S260" s="2362" t="n"/>
      <c r="T260" s="2362" t="n"/>
      <c r="U260" s="2362" t="n"/>
      <c r="V260" s="2362" t="n"/>
      <c r="W260" s="2362" t="n"/>
      <c r="X260" s="2362" t="n"/>
      <c r="Y260" s="2362" t="n"/>
      <c r="Z260" s="2362" t="n"/>
      <c r="AA260" s="2362" t="n"/>
      <c r="AB260" s="2362" t="n"/>
      <c r="AC260" s="2362" t="n"/>
      <c r="AD260" s="2362" t="n"/>
      <c r="AE260" s="2362" t="n"/>
      <c r="AF260" s="2362" t="n"/>
      <c r="AG260" s="2362" t="n"/>
      <c r="AH260" s="2362" t="n"/>
      <c r="AI260" s="2362" t="n"/>
      <c r="AJ260" s="2362" t="n"/>
      <c r="AK260" s="2362" t="n"/>
      <c r="AL260" s="2362" t="n"/>
      <c r="AM260" s="2362" t="n"/>
      <c r="AN260" s="2362" t="n"/>
      <c r="AO260" s="2362" t="n"/>
      <c r="AP260" s="2362" t="n"/>
      <c r="AQ260" s="2362" t="n"/>
      <c r="AR260" s="2362" t="n"/>
      <c r="AS260" s="2362" t="n"/>
    </row>
    <row customHeight="1" hidden="1" ht="15" outlineLevel="1" r="261" s="1843" spans="1:57" thickBot="1">
      <c r="A261" s="2408" t="n"/>
      <c r="B261" s="70" t="s">
        <v>217</v>
      </c>
      <c r="C261" s="2406" t="n"/>
      <c r="D261" s="73">
        <f>SUM(D252:D260)</f>
        <v/>
      </c>
      <c r="E261" s="73">
        <f>SUM(E252:E260)</f>
        <v/>
      </c>
      <c r="F261" s="73">
        <f>SUM(F252:F260)</f>
        <v/>
      </c>
      <c r="G261" s="73">
        <f>SUM(G252:G260)</f>
        <v/>
      </c>
      <c r="H261" s="73">
        <f>SUM(H252:H260)</f>
        <v/>
      </c>
      <c r="I261" s="73">
        <f>SUM(I252:I260)</f>
        <v/>
      </c>
      <c r="J261" s="73">
        <f>SUM(J252:J260)</f>
        <v/>
      </c>
      <c r="K261" s="73">
        <f>SUM(K252:K260)</f>
        <v/>
      </c>
      <c r="L261" s="73">
        <f>SUM(L252:L260)</f>
        <v/>
      </c>
      <c r="M261" s="73">
        <f>SUM(M252:M260)</f>
        <v/>
      </c>
      <c r="N261" s="73">
        <f>SUM(N252:N260)</f>
        <v/>
      </c>
      <c r="O261" s="73">
        <f>SUM(O252:O260)</f>
        <v/>
      </c>
      <c r="P261" s="76">
        <f>SUM(D261:O261)</f>
        <v/>
      </c>
      <c r="R261" s="2422" t="n"/>
    </row>
    <row customFormat="1" customHeight="1" hidden="1" ht="15" outlineLevel="1" r="262" s="2362" spans="1:57" thickBot="1">
      <c r="A262" s="2362" t="n"/>
      <c r="B262" s="1324" t="n"/>
      <c r="C262" s="2449" t="s">
        <v>218</v>
      </c>
      <c r="D262" s="1323">
        <f>SUM(D251,D261)</f>
        <v/>
      </c>
      <c r="E262" s="1323">
        <f>SUM(E251,E261)</f>
        <v/>
      </c>
      <c r="F262" s="1323">
        <f>SUM(F251,F261)</f>
        <v/>
      </c>
      <c r="G262" s="1323">
        <f>SUM(G251,G261)</f>
        <v/>
      </c>
      <c r="H262" s="1323">
        <f>SUM(H251,H261)</f>
        <v/>
      </c>
      <c r="I262" s="1323">
        <f>SUM(I251,I261)</f>
        <v/>
      </c>
      <c r="J262" s="1323">
        <f>SUM(J251,J261)</f>
        <v/>
      </c>
      <c r="K262" s="1323">
        <f>SUM(K251,K261)</f>
        <v/>
      </c>
      <c r="L262" s="1323">
        <f>SUM(L251,L261)</f>
        <v/>
      </c>
      <c r="M262" s="1323">
        <f>SUM(M251,M261)</f>
        <v/>
      </c>
      <c r="N262" s="1323">
        <f>SUM(N251,N261)</f>
        <v/>
      </c>
      <c r="O262" s="1323">
        <f>SUM(O251,O261)</f>
        <v/>
      </c>
      <c r="P262" s="89">
        <f>SUM(P251,P261)</f>
        <v/>
      </c>
      <c r="R262" s="2362" t="n"/>
    </row>
    <row customHeight="1" hidden="1" ht="14.25" outlineLevel="1" r="263" s="1843" spans="1:57">
      <c r="A263" s="2392" t="s">
        <v>203</v>
      </c>
      <c r="B263" s="2395" t="n"/>
      <c r="C263" s="2413" t="s">
        <v>204</v>
      </c>
      <c r="D263" s="1241" t="n">
        <v>0</v>
      </c>
      <c r="E263" s="1241" t="n">
        <v>0</v>
      </c>
      <c r="F263" s="1241" t="n">
        <v>0</v>
      </c>
      <c r="G263" s="1241" t="n">
        <v>0</v>
      </c>
      <c r="H263" s="1241" t="n">
        <v>0</v>
      </c>
      <c r="I263" s="1241" t="n">
        <v>0</v>
      </c>
      <c r="J263" s="1241" t="n">
        <v>0</v>
      </c>
      <c r="K263" s="1241" t="n">
        <v>0</v>
      </c>
      <c r="L263" s="1241" t="n">
        <v>0</v>
      </c>
      <c r="M263" s="1241" t="n">
        <v>0</v>
      </c>
      <c r="N263" s="1241" t="n">
        <v>0</v>
      </c>
      <c r="O263" s="1242" t="n">
        <v>0</v>
      </c>
      <c r="P263" s="137" t="n"/>
      <c r="R263" s="2362" t="n"/>
    </row>
    <row customHeight="1" hidden="1" ht="14.25" outlineLevel="1" r="264" s="1843" spans="1:57">
      <c r="B264" s="2395" t="n"/>
      <c r="C264" s="2399" t="s">
        <v>14</v>
      </c>
      <c r="D264" s="2414" t="n">
        <v>0.5</v>
      </c>
      <c r="E264" s="2414" t="n">
        <v>1.5</v>
      </c>
      <c r="F264" s="2414" t="n">
        <v>1.5</v>
      </c>
      <c r="G264" s="2414" t="n">
        <v>1.5</v>
      </c>
      <c r="H264" s="2414" t="n">
        <v>1.5</v>
      </c>
      <c r="I264" s="2414" t="n">
        <v>1.5</v>
      </c>
      <c r="J264" s="2414" t="n">
        <v>1.5</v>
      </c>
      <c r="K264" s="2414" t="n">
        <v>1.5</v>
      </c>
      <c r="L264" s="2414" t="n">
        <v>1.5</v>
      </c>
      <c r="M264" s="192" t="n">
        <v>1.5</v>
      </c>
      <c r="N264" s="192" t="n">
        <v>1.5</v>
      </c>
      <c r="O264" s="192" t="n">
        <v>1.5</v>
      </c>
      <c r="P264" s="137" t="n"/>
      <c r="R264" s="2362" t="n"/>
    </row>
    <row customHeight="1" hidden="1" ht="14.25" outlineLevel="1" r="265" s="1843" spans="1:57">
      <c r="B265" s="2395" t="n"/>
      <c r="C265" s="2399" t="s">
        <v>15</v>
      </c>
      <c r="D265" s="192" t="n">
        <v>0</v>
      </c>
      <c r="E265" s="192" t="n">
        <v>0</v>
      </c>
      <c r="F265" s="192" t="n">
        <v>0</v>
      </c>
      <c r="G265" s="192" t="n">
        <v>0</v>
      </c>
      <c r="H265" s="192" t="n">
        <v>0</v>
      </c>
      <c r="I265" s="192" t="n">
        <v>0</v>
      </c>
      <c r="J265" s="192" t="n">
        <v>0</v>
      </c>
      <c r="K265" s="192" t="n">
        <v>0</v>
      </c>
      <c r="L265" s="192" t="n">
        <v>0</v>
      </c>
      <c r="M265" s="192" t="n">
        <v>0</v>
      </c>
      <c r="N265" s="192" t="n">
        <v>0</v>
      </c>
      <c r="O265" s="1243" t="n">
        <v>0</v>
      </c>
      <c r="P265" s="137" t="n"/>
      <c r="R265" s="2362" t="n"/>
    </row>
    <row customHeight="1" hidden="1" ht="14.25" outlineLevel="1" r="266" s="1843" spans="1:57">
      <c r="B266" s="2395" t="n"/>
      <c r="C266" s="2399" t="s">
        <v>16</v>
      </c>
      <c r="D266" s="192" t="n">
        <v>0</v>
      </c>
      <c r="E266" s="192" t="n">
        <v>0</v>
      </c>
      <c r="F266" s="192" t="n">
        <v>0</v>
      </c>
      <c r="G266" s="192" t="n">
        <v>0</v>
      </c>
      <c r="H266" s="192" t="n">
        <v>0</v>
      </c>
      <c r="I266" s="192" t="n">
        <v>0</v>
      </c>
      <c r="J266" s="192" t="n">
        <v>0</v>
      </c>
      <c r="K266" s="192" t="n">
        <v>0</v>
      </c>
      <c r="L266" s="192" t="n">
        <v>0</v>
      </c>
      <c r="M266" s="192" t="n">
        <v>0</v>
      </c>
      <c r="N266" s="192" t="n">
        <v>0</v>
      </c>
      <c r="O266" s="1243" t="n">
        <v>0</v>
      </c>
      <c r="P266" s="137" t="n"/>
    </row>
    <row customFormat="1" customHeight="1" hidden="1" ht="14.25" outlineLevel="1" r="267" s="2362" spans="1:57">
      <c r="B267" s="2395" t="n"/>
      <c r="C267" s="2450" t="s">
        <v>80</v>
      </c>
      <c r="D267" s="1287">
        <f>SUM(D263:D266)</f>
        <v/>
      </c>
      <c r="E267" s="1287">
        <f>SUM(E263:E266)</f>
        <v/>
      </c>
      <c r="F267" s="1287">
        <f>SUM(F263:F266)</f>
        <v/>
      </c>
      <c r="G267" s="1287">
        <f>SUM(G263:G266)</f>
        <v/>
      </c>
      <c r="H267" s="1287">
        <f>SUM(H263:H266)</f>
        <v/>
      </c>
      <c r="I267" s="1287">
        <f>SUM(I263:I266)</f>
        <v/>
      </c>
      <c r="J267" s="1287">
        <f>SUM(J263:J266)</f>
        <v/>
      </c>
      <c r="K267" s="1287">
        <f>SUM(K263:K266)</f>
        <v/>
      </c>
      <c r="L267" s="1287">
        <f>SUM(L263:L266)</f>
        <v/>
      </c>
      <c r="M267" s="1287">
        <f>SUM(M263:M266)</f>
        <v/>
      </c>
      <c r="N267" s="1287">
        <f>SUM(N263:N266)</f>
        <v/>
      </c>
      <c r="O267" s="1288">
        <f>SUM(O263:O266)</f>
        <v/>
      </c>
      <c r="P267" s="137" t="n"/>
    </row>
    <row customFormat="1" customHeight="1" hidden="1" ht="14.25" outlineLevel="1" r="268" s="2362" spans="1:57">
      <c r="B268" s="2395" t="n"/>
      <c r="C268" s="2396" t="s">
        <v>206</v>
      </c>
      <c r="D268" s="1232" t="n">
        <v>0</v>
      </c>
      <c r="E268" s="1232" t="n">
        <v>0</v>
      </c>
      <c r="F268" s="1232" t="n">
        <v>0</v>
      </c>
      <c r="G268" s="1232" t="n">
        <v>0</v>
      </c>
      <c r="H268" s="1232" t="n">
        <v>0</v>
      </c>
      <c r="I268" s="1232" t="n">
        <v>0</v>
      </c>
      <c r="J268" s="1232" t="n">
        <v>0</v>
      </c>
      <c r="K268" s="1232" t="n">
        <v>0</v>
      </c>
      <c r="L268" s="1232" t="n">
        <v>0</v>
      </c>
      <c r="M268" s="1232" t="n">
        <v>0</v>
      </c>
      <c r="N268" s="1232" t="n">
        <v>0</v>
      </c>
      <c r="O268" s="1232" t="n">
        <v>0</v>
      </c>
      <c r="P268" s="1240" t="n"/>
    </row>
    <row customFormat="1" customHeight="1" hidden="1" ht="14.25" outlineLevel="1" r="269" s="2362" spans="1:57">
      <c r="B269" s="2395" t="n"/>
      <c r="C269" s="2397" t="s">
        <v>207</v>
      </c>
      <c r="D269" s="1233">
        <f>D267-D268</f>
        <v/>
      </c>
      <c r="E269" s="1233">
        <f>E267-E268</f>
        <v/>
      </c>
      <c r="F269" s="1233">
        <f>F267-F268</f>
        <v/>
      </c>
      <c r="G269" s="1233">
        <f>G267-G268</f>
        <v/>
      </c>
      <c r="H269" s="1233">
        <f>H267-H268</f>
        <v/>
      </c>
      <c r="I269" s="1233">
        <f>I267-I268</f>
        <v/>
      </c>
      <c r="J269" s="1233">
        <f>J267-J268</f>
        <v/>
      </c>
      <c r="K269" s="1233">
        <f>K267-K268</f>
        <v/>
      </c>
      <c r="L269" s="1233">
        <f>L267-L268</f>
        <v/>
      </c>
      <c r="M269" s="1233">
        <f>M267-M268</f>
        <v/>
      </c>
      <c r="N269" s="1233">
        <f>N267-N268</f>
        <v/>
      </c>
      <c r="O269" s="1233">
        <f>O267-O268</f>
        <v/>
      </c>
      <c r="P269" s="1216" t="n"/>
    </row>
    <row customHeight="1" hidden="1" ht="14.25" outlineLevel="1" r="270" s="1843" spans="1:57">
      <c r="A270" s="2434" t="s">
        <v>157</v>
      </c>
      <c r="B270" s="2395" t="n"/>
      <c r="C270" s="2441" t="s">
        <v>208</v>
      </c>
      <c r="D270" s="1247" t="n"/>
      <c r="E270" s="1247" t="n"/>
      <c r="F270" s="1247" t="n"/>
      <c r="G270" s="1247" t="n"/>
      <c r="H270" s="1247" t="n"/>
      <c r="I270" s="1247" t="n"/>
      <c r="J270" s="1247" t="n"/>
      <c r="K270" s="1247" t="n"/>
      <c r="L270" s="1247" t="n"/>
      <c r="M270" s="1247" t="n"/>
      <c r="N270" s="1247" t="n"/>
      <c r="O270" s="1248" t="n"/>
      <c r="P270" s="1216" t="n"/>
      <c r="R270" s="2362" t="n"/>
    </row>
    <row customHeight="1" hidden="1" ht="14.25" outlineLevel="1" r="271" s="1843" spans="1:57">
      <c r="B271" s="2395" t="n"/>
      <c r="C271" s="2442" t="s">
        <v>209</v>
      </c>
      <c r="D271" s="1234">
        <f>SUMPRODUCT(('FY18 SET'!$B$4:$B67=$A$245)*('FY18 SET'!$F$4:$F67="实际OS")*('FY18 SET'!G$4:G$67))</f>
        <v/>
      </c>
      <c r="E271" s="1234">
        <f>SUMPRODUCT(('FY18 SET'!$B$4:$B67=$A$245)*('FY18 SET'!$F$4:$F67="实际OS")*('FY18 SET'!H$4:H$67))</f>
        <v/>
      </c>
      <c r="F271" s="1234">
        <f>SUMPRODUCT(('FY18 SET'!$B$4:$B67=$A$245)*('FY18 SET'!$F$4:$F67="实际OS")*('FY18 SET'!I$4:I$67))</f>
        <v/>
      </c>
      <c r="G271" s="1234">
        <f>SUMPRODUCT(('FY18 SET'!$B$4:$B67=$A$245)*('FY18 SET'!$F$4:$F67="实际OS")*('FY18 SET'!J$4:J$67))</f>
        <v/>
      </c>
      <c r="H271" s="1234">
        <f>SUMPRODUCT(('FY18 SET'!$B$4:$B67=$A$245)*('FY18 SET'!$F$4:$F67="实际OS")*('FY18 SET'!K$4:K$67))</f>
        <v/>
      </c>
      <c r="I271" s="1234">
        <f>SUMPRODUCT(('FY18 SET'!$B$4:$B67=$A$245)*('FY18 SET'!$F$4:$F67="实际OS")*('FY18 SET'!L$4:L$67))</f>
        <v/>
      </c>
      <c r="J271" s="1234">
        <f>SUMPRODUCT(('FY18 SET'!$B$4:$B67=$A$245)*('FY18 SET'!$F$4:$F67="实际OS")*('FY18 SET'!N$4:N$67))</f>
        <v/>
      </c>
      <c r="K271" s="1234">
        <f>SUMPRODUCT(('FY18 SET'!$B$4:$B67=$A$245)*('FY18 SET'!$F$4:$F67="实际OS")*('FY18 SET'!O$4:O$67))</f>
        <v/>
      </c>
      <c r="L271" s="1234">
        <f>SUMPRODUCT(('FY18 SET'!$B$4:$B67=$A$245)*('FY18 SET'!$F$4:$F67="实际OS")*('FY18 SET'!P$4:P$67))</f>
        <v/>
      </c>
      <c r="M271" s="1234">
        <f>SUMPRODUCT(('FY18 SET'!$B$4:$B67=$A$245)*('FY18 SET'!$F$4:$F67="实际OS")*('FY18 SET'!Q$4:Q$67))</f>
        <v/>
      </c>
      <c r="N271" s="1234">
        <f>SUMPRODUCT(('FY18 SET'!$B$4:$B67=$A$245)*('FY18 SET'!$F$4:$F67="实际OS")*('FY18 SET'!R$4:R$67))</f>
        <v/>
      </c>
      <c r="O271" s="1234">
        <f>SUMPRODUCT(('FY18 SET'!$B$4:$B67=$A$245)*('FY18 SET'!$F$4:$F67="实际OS")*('FY18 SET'!S$4:S$67))</f>
        <v/>
      </c>
      <c r="P271" s="1216" t="n"/>
      <c r="R271" s="2362" t="n"/>
    </row>
    <row customHeight="1" hidden="1" ht="14.25" outlineLevel="1" r="272" s="1843" spans="1:57">
      <c r="B272" s="2395" t="n"/>
      <c r="C272" s="2443" t="s">
        <v>211</v>
      </c>
      <c r="D272" s="1233">
        <f>SUM(D270:D271)</f>
        <v/>
      </c>
      <c r="E272" s="1233">
        <f>SUM(E270:E271)</f>
        <v/>
      </c>
      <c r="F272" s="1233">
        <f>SUM(F270:F271)</f>
        <v/>
      </c>
      <c r="G272" s="1233">
        <f>SUM(G270:G271)</f>
        <v/>
      </c>
      <c r="H272" s="1233">
        <f>SUM(H270:H271)</f>
        <v/>
      </c>
      <c r="I272" s="1233">
        <f>SUM(I270:I271)</f>
        <v/>
      </c>
      <c r="J272" s="1233">
        <f>SUM(J270:J271)</f>
        <v/>
      </c>
      <c r="K272" s="1233">
        <f>SUM(K270:K271)</f>
        <v/>
      </c>
      <c r="L272" s="1233">
        <f>SUM(L270:L271)</f>
        <v/>
      </c>
      <c r="M272" s="1233">
        <f>SUM(M270:M271)</f>
        <v/>
      </c>
      <c r="N272" s="1233">
        <f>SUM(N270:N271)</f>
        <v/>
      </c>
      <c r="O272" s="1250">
        <f>SUM(O270:O271)</f>
        <v/>
      </c>
      <c r="P272" s="1216" t="n"/>
    </row>
    <row customHeight="1" hidden="1" ht="14.25" outlineLevel="1" r="273" s="1843" spans="1:57">
      <c r="A273" s="2416" t="s">
        <v>219</v>
      </c>
      <c r="B273" s="2417" t="n"/>
      <c r="C273" s="2444" t="s">
        <v>220</v>
      </c>
      <c r="D273" s="1278">
        <f>SUM(D268,D270)</f>
        <v/>
      </c>
      <c r="E273" s="1270">
        <f>SUM(E268,E270)</f>
        <v/>
      </c>
      <c r="F273" s="1270">
        <f>SUM(F268,F270)</f>
        <v/>
      </c>
      <c r="G273" s="1270">
        <f>SUM(G268,G270)</f>
        <v/>
      </c>
      <c r="H273" s="1270">
        <f>SUM(H268,H270)</f>
        <v/>
      </c>
      <c r="I273" s="1270">
        <f>SUM(I268,I270)</f>
        <v/>
      </c>
      <c r="J273" s="1270">
        <f>SUM(J268,J270)</f>
        <v/>
      </c>
      <c r="K273" s="1270">
        <f>SUM(K268,K270)</f>
        <v/>
      </c>
      <c r="L273" s="1270">
        <f>SUM(L268,L270)</f>
        <v/>
      </c>
      <c r="M273" s="1270">
        <f>SUM(M268,M270)</f>
        <v/>
      </c>
      <c r="N273" s="1270">
        <f>SUM(N268,N270)</f>
        <v/>
      </c>
      <c r="O273" s="1271">
        <f>SUM(O268,O270)</f>
        <v/>
      </c>
      <c r="P273" s="2445" t="n"/>
      <c r="Q273" s="2362" t="n"/>
      <c r="R273" s="2362" t="n"/>
      <c r="S273" s="2362" t="n"/>
      <c r="T273" s="2362" t="n"/>
      <c r="U273" s="2362" t="n"/>
      <c r="V273" s="2362" t="n"/>
      <c r="W273" s="2362" t="n"/>
      <c r="X273" s="2362" t="n"/>
      <c r="Y273" s="2362" t="n"/>
      <c r="Z273" s="2362" t="n"/>
      <c r="AA273" s="2362" t="n"/>
      <c r="AB273" s="2362" t="n"/>
      <c r="AC273" s="2362" t="n"/>
      <c r="AD273" s="2362" t="n"/>
      <c r="AE273" s="2362" t="n"/>
    </row>
    <row customHeight="1" hidden="1" ht="14.25" outlineLevel="1" r="274" s="1843" spans="1:57">
      <c r="B274" s="2419" t="n"/>
      <c r="C274" s="2446" t="s">
        <v>221</v>
      </c>
      <c r="D274" s="1279">
        <f>SUM(D269,D271)</f>
        <v/>
      </c>
      <c r="E274" s="140">
        <f>SUM(E269,E271)</f>
        <v/>
      </c>
      <c r="F274" s="140">
        <f>SUM(F269,F271)</f>
        <v/>
      </c>
      <c r="G274" s="140">
        <f>SUM(G269,G271)</f>
        <v/>
      </c>
      <c r="H274" s="140">
        <f>SUM(H269,H271)</f>
        <v/>
      </c>
      <c r="I274" s="140">
        <f>SUM(I269,I271)</f>
        <v/>
      </c>
      <c r="J274" s="140">
        <f>SUM(J269,J271)</f>
        <v/>
      </c>
      <c r="K274" s="140">
        <f>SUM(K269,K271)</f>
        <v/>
      </c>
      <c r="L274" s="140">
        <f>SUM(L269,L271)</f>
        <v/>
      </c>
      <c r="M274" s="140">
        <f>SUM(M269,M271)</f>
        <v/>
      </c>
      <c r="N274" s="140">
        <f>SUM(N269,N271)</f>
        <v/>
      </c>
      <c r="O274" s="1273">
        <f>SUM(O269,O271)</f>
        <v/>
      </c>
      <c r="P274" s="2422" t="n"/>
      <c r="Q274" s="2362" t="n"/>
      <c r="R274" s="2362" t="n"/>
      <c r="S274" s="2362" t="n"/>
      <c r="T274" s="2362" t="n"/>
      <c r="U274" s="2362" t="n"/>
      <c r="V274" s="2362" t="n"/>
      <c r="W274" s="2362" t="n"/>
      <c r="X274" s="2362" t="n"/>
      <c r="Y274" s="2362" t="n"/>
      <c r="Z274" s="2362" t="n"/>
      <c r="AA274" s="2362" t="n"/>
      <c r="AB274" s="2362" t="n"/>
      <c r="AC274" s="2362" t="n"/>
      <c r="AD274" s="2362" t="n"/>
      <c r="AE274" s="2362" t="n"/>
    </row>
    <row customHeight="1" hidden="1" ht="14.25" outlineLevel="1" r="275" s="1843" spans="1:57">
      <c r="B275" s="1274" t="n"/>
      <c r="C275" s="2447" t="s">
        <v>222</v>
      </c>
      <c r="D275" s="1280">
        <f>SUM(D273:D274)</f>
        <v/>
      </c>
      <c r="E275" s="1276">
        <f>SUM(E273:E274)</f>
        <v/>
      </c>
      <c r="F275" s="1276">
        <f>SUM(F273:F274)</f>
        <v/>
      </c>
      <c r="G275" s="1276">
        <f>SUM(G273:G274)</f>
        <v/>
      </c>
      <c r="H275" s="1276">
        <f>SUM(H273:H274)</f>
        <v/>
      </c>
      <c r="I275" s="1276">
        <f>SUM(I273:I274)</f>
        <v/>
      </c>
      <c r="J275" s="1276">
        <f>SUM(J273:J274)</f>
        <v/>
      </c>
      <c r="K275" s="1276">
        <f>SUM(K273:K274)</f>
        <v/>
      </c>
      <c r="L275" s="1276">
        <f>SUM(L273:L274)</f>
        <v/>
      </c>
      <c r="M275" s="1276">
        <f>SUM(M273:M274)</f>
        <v/>
      </c>
      <c r="N275" s="1276">
        <f>SUM(N273:N274)</f>
        <v/>
      </c>
      <c r="O275" s="1277">
        <f>SUM(O273:O274)</f>
        <v/>
      </c>
      <c r="P275" s="2422" t="n"/>
      <c r="Q275" s="2362" t="n"/>
      <c r="R275" s="2362" t="n"/>
      <c r="S275" s="2362" t="n"/>
      <c r="T275" s="2362" t="n"/>
      <c r="U275" s="2362" t="n"/>
      <c r="V275" s="2362" t="n"/>
      <c r="W275" s="2362" t="n"/>
      <c r="X275" s="2362" t="n"/>
      <c r="Y275" s="2362" t="n"/>
      <c r="Z275" s="2362" t="n"/>
      <c r="AA275" s="2362" t="n"/>
      <c r="AB275" s="2362" t="n"/>
      <c r="AC275" s="2362" t="n"/>
      <c r="AD275" s="2362" t="n"/>
      <c r="AE275" s="2362" t="n"/>
    </row>
    <row customHeight="1" hidden="1" ht="14.25" outlineLevel="1" r="276" s="1843" spans="1:57">
      <c r="A276" s="2362" t="n"/>
      <c r="C276" s="2401" t="n"/>
      <c r="D276" s="62" t="n"/>
      <c r="E276" s="126" t="n"/>
      <c r="F276" s="62" t="n"/>
      <c r="G276" s="62" t="n"/>
      <c r="H276" s="62" t="n"/>
      <c r="I276" s="62" t="n"/>
      <c r="J276" s="62" t="n"/>
      <c r="K276" s="62" t="n"/>
      <c r="L276" s="62" t="n"/>
      <c r="M276" s="62" t="n"/>
      <c r="N276" s="62" t="n"/>
      <c r="O276" s="62" t="n"/>
      <c r="P276" s="2362" t="n"/>
      <c r="Q276" s="2362" t="n"/>
      <c r="R276" s="2362" t="n"/>
      <c r="S276" s="2362" t="n"/>
      <c r="T276" s="2362" t="n"/>
      <c r="U276" s="2362" t="n"/>
      <c r="V276" s="2362" t="n"/>
      <c r="W276" s="2362" t="n"/>
      <c r="X276" s="2362" t="n"/>
      <c r="Y276" s="2362" t="n"/>
      <c r="Z276" s="2362" t="n"/>
      <c r="AA276" s="2362" t="n"/>
      <c r="AB276" s="2362" t="n"/>
      <c r="AC276" s="2362" t="n"/>
      <c r="AD276" s="2362" t="n"/>
      <c r="AE276" s="2362" t="n"/>
    </row>
    <row customHeight="1" hidden="1" ht="15.75" outlineLevel="1" r="277" s="1843" spans="1:57">
      <c r="A277" s="2370" t="n"/>
      <c r="B277" s="80" t="n"/>
      <c r="C277" s="2371" t="n"/>
      <c r="D277" s="2372" t="n">
        <v>43191</v>
      </c>
      <c r="E277" s="2372" t="n">
        <v>43221</v>
      </c>
      <c r="F277" s="2372" t="n">
        <v>43252</v>
      </c>
      <c r="G277" s="2372" t="n">
        <v>43282</v>
      </c>
      <c r="H277" s="2372" t="n">
        <v>43313</v>
      </c>
      <c r="I277" s="2372" t="n">
        <v>43344</v>
      </c>
      <c r="J277" s="2372" t="n">
        <v>43374</v>
      </c>
      <c r="K277" s="2372" t="n">
        <v>43405</v>
      </c>
      <c r="L277" s="2372" t="n">
        <v>43435</v>
      </c>
      <c r="M277" s="2372" t="n">
        <v>43466</v>
      </c>
      <c r="N277" s="2372" t="n">
        <v>43497</v>
      </c>
      <c r="O277" s="2372" t="n">
        <v>43525</v>
      </c>
      <c r="P277" s="2373" t="s">
        <v>55</v>
      </c>
      <c r="R277" s="2362" t="n"/>
      <c r="S277" s="2362" t="n"/>
    </row>
    <row customHeight="1" hidden="1" ht="15.75" outlineLevel="1" r="278" s="1843" spans="1:57">
      <c r="A278" s="2375" t="s">
        <v>104</v>
      </c>
      <c r="B278" s="64" t="n"/>
      <c r="C278" s="2376" t="s">
        <v>187</v>
      </c>
      <c r="D278" s="1381">
        <f>D297*D632+D298*D633+D299*D634+D300*D635</f>
        <v/>
      </c>
      <c r="E278" s="1381">
        <f>E297*E632+E298*E633+E299*E634+E300*E635</f>
        <v/>
      </c>
      <c r="F278" s="1381">
        <f>F297*F632+F298*F633+F299*F634+F300*F635</f>
        <v/>
      </c>
      <c r="G278" s="1381">
        <f>G297*G632+G298*G633+G299*G634+G300*G635</f>
        <v/>
      </c>
      <c r="H278" s="1381">
        <f>H297*H632+H298*H633+H299*H634+H300*H635</f>
        <v/>
      </c>
      <c r="I278" s="1381">
        <f>I297*I632+I298*I633+I299*I634+I300*I635</f>
        <v/>
      </c>
      <c r="J278" s="1381">
        <f>J297*J632+J298*J633+J299*J634+J300*J635</f>
        <v/>
      </c>
      <c r="K278" s="1381">
        <f>K297*K632+K298*K633+K299*K634+K300*K635</f>
        <v/>
      </c>
      <c r="L278" s="1381">
        <f>L297*L632+L298*L633+L299*L634+L300*L635</f>
        <v/>
      </c>
      <c r="M278" s="1381">
        <f>M297*M632+M298*M633+M299*M634+M300*M635</f>
        <v/>
      </c>
      <c r="N278" s="1381">
        <f>N297*N632+N298*N633+N299*N634+N300*N635</f>
        <v/>
      </c>
      <c r="O278" s="1381">
        <f>O297*O632+O298*O633+O299*O634+O300*O635</f>
        <v/>
      </c>
      <c r="P278" s="49">
        <f>SUM(D278:O278)</f>
        <v/>
      </c>
      <c r="R278" s="2362" t="n"/>
      <c r="S278" s="2362" t="n"/>
    </row>
    <row customHeight="1" hidden="1" ht="14.25" outlineLevel="1" r="279" s="1843" spans="1:57">
      <c r="A279" s="2436" t="n"/>
      <c r="B279" s="66" t="n"/>
      <c r="C279" s="2379" t="s">
        <v>189</v>
      </c>
      <c r="D279" s="1380">
        <f>D176*D$301/D$198</f>
        <v/>
      </c>
      <c r="E279" s="1380">
        <f>E176*E$301/E$198</f>
        <v/>
      </c>
      <c r="F279" s="1380">
        <f>F176*F$301/F$198</f>
        <v/>
      </c>
      <c r="G279" s="1380">
        <f>G176*G$301/G$198</f>
        <v/>
      </c>
      <c r="H279" s="1380">
        <f>H176*H$301/H$198</f>
        <v/>
      </c>
      <c r="I279" s="1380">
        <f>I176*I$301/I$198</f>
        <v/>
      </c>
      <c r="J279" s="1380">
        <f>J176*J$301/J$198</f>
        <v/>
      </c>
      <c r="K279" s="1380">
        <f>K176*K$301/K$198</f>
        <v/>
      </c>
      <c r="L279" s="1380">
        <f>L176*L$301/L$198</f>
        <v/>
      </c>
      <c r="M279" s="1380">
        <f>M176*M$301/M$198</f>
        <v/>
      </c>
      <c r="N279" s="1380">
        <f>N176*N$301/N$198</f>
        <v/>
      </c>
      <c r="O279" s="1380">
        <f>O176*O$301/O$198</f>
        <v/>
      </c>
      <c r="P279" s="46">
        <f>SUM(D279:O279)</f>
        <v/>
      </c>
      <c r="R279" s="2362" t="n"/>
      <c r="S279" s="2362" t="n"/>
    </row>
    <row customHeight="1" hidden="1" ht="15.75" outlineLevel="1" r="280" s="1843" spans="1:57">
      <c r="A280" s="2403" t="s">
        <v>101</v>
      </c>
      <c r="B280" s="66" t="n"/>
      <c r="C280" s="2379" t="s">
        <v>212</v>
      </c>
      <c r="D280" s="1380">
        <f>D177*D$301/D$198</f>
        <v/>
      </c>
      <c r="E280" s="1380">
        <f>E177*E$301/E$198</f>
        <v/>
      </c>
      <c r="F280" s="1380">
        <f>F177*F$301/F$198</f>
        <v/>
      </c>
      <c r="G280" s="1380">
        <f>G177*G$301/G$198</f>
        <v/>
      </c>
      <c r="H280" s="1380">
        <f>H177*H$301/H$198</f>
        <v/>
      </c>
      <c r="I280" s="1380">
        <f>I177*I$301/I$198</f>
        <v/>
      </c>
      <c r="J280" s="1380">
        <f>J177*J$301/J$198</f>
        <v/>
      </c>
      <c r="K280" s="1380">
        <f>K177*K$301/K$198</f>
        <v/>
      </c>
      <c r="L280" s="1380">
        <f>L177*L$301/L$198</f>
        <v/>
      </c>
      <c r="M280" s="1380">
        <f>M177*M$301/M$198</f>
        <v/>
      </c>
      <c r="N280" s="1380">
        <f>N177*N$301/N$198</f>
        <v/>
      </c>
      <c r="O280" s="1380">
        <f>O177*O$301/O$198</f>
        <v/>
      </c>
      <c r="P280" s="46">
        <f>SUM(D280:O280)</f>
        <v/>
      </c>
      <c r="R280" s="2362" t="n"/>
      <c r="S280" s="2362" t="n"/>
    </row>
    <row customHeight="1" hidden="1" ht="14.25" outlineLevel="1" r="281" s="1843" spans="1:57">
      <c r="A281" s="2381" t="n"/>
      <c r="B281" s="66" t="n"/>
      <c r="C281" s="2379" t="s">
        <v>191</v>
      </c>
      <c r="D281" s="1380">
        <f>D178*D$301/D$198</f>
        <v/>
      </c>
      <c r="E281" s="1380">
        <f>E178*E$301/E$198</f>
        <v/>
      </c>
      <c r="F281" s="1380">
        <f>F178*F$301/F$198</f>
        <v/>
      </c>
      <c r="G281" s="1380">
        <f>G178*G$301/G$198</f>
        <v/>
      </c>
      <c r="H281" s="1380">
        <f>H178*H$301/H$198</f>
        <v/>
      </c>
      <c r="I281" s="1380">
        <f>I178*I$301/I$198</f>
        <v/>
      </c>
      <c r="J281" s="1380">
        <f>J178*J$301/J$198</f>
        <v/>
      </c>
      <c r="K281" s="1380">
        <f>K178*K$301/K$198</f>
        <v/>
      </c>
      <c r="L281" s="1380">
        <f>L178*L$301/L$198</f>
        <v/>
      </c>
      <c r="M281" s="1380">
        <f>M178*M$301/M$198</f>
        <v/>
      </c>
      <c r="N281" s="1380">
        <f>N178*N$301/N$198</f>
        <v/>
      </c>
      <c r="O281" s="1380">
        <f>O178*O$301/O$198</f>
        <v/>
      </c>
      <c r="P281" s="46">
        <f>SUM(D281:O281)</f>
        <v/>
      </c>
      <c r="R281" s="2362" t="n"/>
      <c r="S281" s="2362" t="n"/>
    </row>
    <row customHeight="1" hidden="1" ht="14.25" outlineLevel="1" r="282" s="1843" spans="1:57">
      <c r="A282" s="2381" t="n"/>
      <c r="B282" s="66" t="n"/>
      <c r="C282" s="2379" t="s">
        <v>192</v>
      </c>
      <c r="D282" s="1380">
        <f>D179*D$301/D$198</f>
        <v/>
      </c>
      <c r="E282" s="1380">
        <f>E179*E$301/E$198</f>
        <v/>
      </c>
      <c r="F282" s="1380">
        <f>F179*F$301/F$198</f>
        <v/>
      </c>
      <c r="G282" s="1380">
        <f>G179*G$301/G$198</f>
        <v/>
      </c>
      <c r="H282" s="1380">
        <f>H179*H$301/H$198</f>
        <v/>
      </c>
      <c r="I282" s="1380">
        <f>I179*I$301/I$198</f>
        <v/>
      </c>
      <c r="J282" s="1380">
        <f>J179*J$301/J$198</f>
        <v/>
      </c>
      <c r="K282" s="1380">
        <f>K179*K$301/K$198</f>
        <v/>
      </c>
      <c r="L282" s="1380">
        <f>L179*L$301/L$198</f>
        <v/>
      </c>
      <c r="M282" s="1380">
        <f>M179*M$301/M$198</f>
        <v/>
      </c>
      <c r="N282" s="1380">
        <f>N179*N$301/N$198</f>
        <v/>
      </c>
      <c r="O282" s="1380">
        <f>O179*O$301/O$198</f>
        <v/>
      </c>
      <c r="P282" s="46">
        <f>SUM(D282:O282)</f>
        <v/>
      </c>
      <c r="R282" s="2362" t="n"/>
      <c r="S282" s="2362" t="n"/>
    </row>
    <row customHeight="1" hidden="1" ht="14.25" outlineLevel="1" r="283" s="1843" spans="1:57">
      <c r="A283" s="2381" t="n"/>
      <c r="B283" s="66" t="n"/>
      <c r="C283" s="2379" t="s">
        <v>213</v>
      </c>
      <c r="D283" s="1380">
        <f>D180*D$301/D$198</f>
        <v/>
      </c>
      <c r="E283" s="1380">
        <f>E180*E$301/E$198</f>
        <v/>
      </c>
      <c r="F283" s="1380">
        <f>F180*F$301/F$198</f>
        <v/>
      </c>
      <c r="G283" s="1380">
        <f>G180*G$301/G$198</f>
        <v/>
      </c>
      <c r="H283" s="1380">
        <f>H180*H$301/H$198</f>
        <v/>
      </c>
      <c r="I283" s="1380">
        <f>I180*I$301/I$198</f>
        <v/>
      </c>
      <c r="J283" s="1380">
        <f>J180*J$301/J$198</f>
        <v/>
      </c>
      <c r="K283" s="1380">
        <f>K180*K$301/K$198</f>
        <v/>
      </c>
      <c r="L283" s="1380">
        <f>L180*L$301/L$198</f>
        <v/>
      </c>
      <c r="M283" s="1380">
        <f>M180*M$301/M$198</f>
        <v/>
      </c>
      <c r="N283" s="1380">
        <f>N180*N$301/N$198</f>
        <v/>
      </c>
      <c r="O283" s="1380">
        <f>O180*O$301/O$198</f>
        <v/>
      </c>
      <c r="P283" s="47">
        <f>SUM(D283:O283)</f>
        <v/>
      </c>
      <c r="R283" s="2362" t="n"/>
      <c r="S283" s="2362" t="n"/>
    </row>
    <row customHeight="1" hidden="1" ht="14.25" outlineLevel="1" r="284" s="1843" spans="1:57">
      <c r="A284" s="2381" t="n"/>
      <c r="B284" s="123" t="n"/>
      <c r="C284" s="2382" t="s">
        <v>195</v>
      </c>
      <c r="D284" s="1380">
        <f>D181*D$301/D$198</f>
        <v/>
      </c>
      <c r="E284" s="1380">
        <f>E181*E$301/E$198</f>
        <v/>
      </c>
      <c r="F284" s="1380">
        <f>F181*F$301/F$198</f>
        <v/>
      </c>
      <c r="G284" s="1380">
        <f>G181*G$301/G$198</f>
        <v/>
      </c>
      <c r="H284" s="1380">
        <f>H181*H$301/H$198</f>
        <v/>
      </c>
      <c r="I284" s="1380">
        <f>I181*I$301/I$198</f>
        <v/>
      </c>
      <c r="J284" s="1380">
        <f>J181*J$301/J$198</f>
        <v/>
      </c>
      <c r="K284" s="1380">
        <f>K181*K$301/K$198</f>
        <v/>
      </c>
      <c r="L284" s="1380">
        <f>L181*L$301/L$198</f>
        <v/>
      </c>
      <c r="M284" s="1380">
        <f>M181*M$301/M$198</f>
        <v/>
      </c>
      <c r="N284" s="1380">
        <f>N181*N$301/N$198</f>
        <v/>
      </c>
      <c r="O284" s="1380">
        <f>O181*O$301/O$198</f>
        <v/>
      </c>
      <c r="P284" s="46">
        <f>SUM(D284:O284)</f>
        <v/>
      </c>
      <c r="R284" s="2362" t="n"/>
      <c r="S284" s="2362" t="n"/>
    </row>
    <row customHeight="1" hidden="1" ht="14.25" outlineLevel="1" r="285" s="1843" spans="1:57">
      <c r="A285" s="2381" t="n"/>
      <c r="B285" s="70" t="s">
        <v>214</v>
      </c>
      <c r="C285" s="2406" t="n"/>
      <c r="D285" s="73">
        <f>SUM(D278:D284)</f>
        <v/>
      </c>
      <c r="E285" s="73">
        <f>SUM(E278:E284)</f>
        <v/>
      </c>
      <c r="F285" s="73">
        <f>SUM(F278:F284)</f>
        <v/>
      </c>
      <c r="G285" s="73">
        <f>SUM(G278:G284)</f>
        <v/>
      </c>
      <c r="H285" s="73">
        <f>SUM(H278:H284)</f>
        <v/>
      </c>
      <c r="I285" s="73">
        <f>SUM(I278:I284)</f>
        <v/>
      </c>
      <c r="J285" s="73">
        <f>SUM(J278:J284)</f>
        <v/>
      </c>
      <c r="K285" s="73">
        <f>SUM(K278:K284)</f>
        <v/>
      </c>
      <c r="L285" s="73">
        <f>SUM(L278:L284)</f>
        <v/>
      </c>
      <c r="M285" s="73">
        <f>SUM(M278:M284)</f>
        <v/>
      </c>
      <c r="N285" s="73">
        <f>SUM(N278:N284)</f>
        <v/>
      </c>
      <c r="O285" s="73">
        <f>SUM(O278:O284)</f>
        <v/>
      </c>
      <c r="P285" s="76">
        <f>SUM(D285:O285)</f>
        <v/>
      </c>
      <c r="R285" s="2362" t="n"/>
      <c r="S285" s="2362" t="n"/>
    </row>
    <row customHeight="1" hidden="1" ht="14.25" outlineLevel="1" r="286" s="1843" spans="1:57">
      <c r="A286" s="2407" t="n"/>
      <c r="B286" s="123" t="n"/>
      <c r="C286" s="2385" t="s">
        <v>161</v>
      </c>
      <c r="D286" s="87">
        <f>D183*D$309/D$206</f>
        <v/>
      </c>
      <c r="E286" s="87">
        <f>E183*E$309/E$206</f>
        <v/>
      </c>
      <c r="F286" s="87">
        <f>F183*F$309/F$206</f>
        <v/>
      </c>
      <c r="G286" s="87">
        <f>G183*G$309/G$206</f>
        <v/>
      </c>
      <c r="H286" s="87">
        <f>H183*H$309/H$206</f>
        <v/>
      </c>
      <c r="I286" s="87">
        <f>I183*I$309/I$206</f>
        <v/>
      </c>
      <c r="J286" s="87">
        <f>J183*J$309/J$206</f>
        <v/>
      </c>
      <c r="K286" s="87">
        <f>K183*K$309/K$206</f>
        <v/>
      </c>
      <c r="L286" s="87">
        <f>L183*L$309/L$206</f>
        <v/>
      </c>
      <c r="M286" s="87">
        <f>M183*M$309/M$206</f>
        <v/>
      </c>
      <c r="N286" s="87">
        <f>N183*N$309/N$206</f>
        <v/>
      </c>
      <c r="O286" s="87">
        <f>O183*O$309/O$206</f>
        <v/>
      </c>
      <c r="P286" s="85">
        <f>SUM(D286:O286)</f>
        <v/>
      </c>
      <c r="Q286" s="2362" t="n"/>
      <c r="R286" s="2362" t="n"/>
      <c r="S286" s="2362" t="n"/>
      <c r="T286" s="2362" t="n"/>
      <c r="U286" s="2362" t="n"/>
      <c r="V286" s="2362" t="n"/>
      <c r="W286" s="2362" t="n"/>
      <c r="X286" s="2362" t="n"/>
      <c r="Y286" s="2362" t="n"/>
      <c r="Z286" s="2362" t="n"/>
      <c r="AA286" s="2362" t="n"/>
      <c r="AB286" s="2362" t="n"/>
      <c r="AC286" s="2362" t="n"/>
      <c r="AD286" s="2362" t="n"/>
      <c r="AE286" s="2362" t="n"/>
    </row>
    <row customHeight="1" hidden="1" ht="14.25" outlineLevel="1" r="287" s="1843" spans="1:57">
      <c r="A287" s="2407" t="n"/>
      <c r="B287" s="123" t="n"/>
      <c r="C287" s="2385" t="s">
        <v>215</v>
      </c>
      <c r="D287" s="87">
        <f>D184*D$301/D$198</f>
        <v/>
      </c>
      <c r="E287" s="87">
        <f>E184*E$301/E$198</f>
        <v/>
      </c>
      <c r="F287" s="87">
        <f>F184*F$301/F$198</f>
        <v/>
      </c>
      <c r="G287" s="87">
        <f>G184*G$301/G$198</f>
        <v/>
      </c>
      <c r="H287" s="87">
        <f>H184*H$301/H$198</f>
        <v/>
      </c>
      <c r="I287" s="87">
        <f>I184*I$301/I$198</f>
        <v/>
      </c>
      <c r="J287" s="87">
        <f>J184*J$301/J$198</f>
        <v/>
      </c>
      <c r="K287" s="87">
        <f>K184*K$301/K$198</f>
        <v/>
      </c>
      <c r="L287" s="87">
        <f>L184*L$301/L$198</f>
        <v/>
      </c>
      <c r="M287" s="87">
        <f>M184*M$301/M$198</f>
        <v/>
      </c>
      <c r="N287" s="87">
        <f>N184*N$301/N$198</f>
        <v/>
      </c>
      <c r="O287" s="87">
        <f>O184*O$301/O$198</f>
        <v/>
      </c>
      <c r="P287" s="85">
        <f>SUM(D287:O287)</f>
        <v/>
      </c>
      <c r="Q287" s="2362" t="n"/>
      <c r="R287" s="2362" t="n"/>
      <c r="S287" s="2362" t="n"/>
      <c r="T287" s="2362" t="n"/>
      <c r="U287" s="2362" t="n"/>
      <c r="V287" s="2362" t="n"/>
      <c r="W287" s="2362" t="n"/>
      <c r="X287" s="2362" t="n"/>
      <c r="Y287" s="2362" t="n"/>
      <c r="Z287" s="2362" t="n"/>
      <c r="AA287" s="2362" t="n"/>
      <c r="AB287" s="2362" t="n"/>
      <c r="AC287" s="2362" t="n"/>
      <c r="AD287" s="2362" t="n"/>
      <c r="AE287" s="2362" t="n"/>
    </row>
    <row customHeight="1" hidden="1" ht="14.25" outlineLevel="1" r="288" s="1843" spans="1:57">
      <c r="A288" s="2407" t="n"/>
      <c r="B288" s="1171" t="n"/>
      <c r="C288" s="2386" t="s">
        <v>197</v>
      </c>
      <c r="D288" s="87">
        <f>D185*D$307/D$204</f>
        <v/>
      </c>
      <c r="E288" s="87">
        <f>E185*E$307/E$204</f>
        <v/>
      </c>
      <c r="F288" s="87">
        <f>F185*F$307/F$204</f>
        <v/>
      </c>
      <c r="G288" s="87">
        <f>G185*G$307/G$204</f>
        <v/>
      </c>
      <c r="H288" s="87">
        <f>H185*H$307/H$204</f>
        <v/>
      </c>
      <c r="I288" s="87">
        <f>I185*I$307/I$204</f>
        <v/>
      </c>
      <c r="J288" s="87">
        <f>J185*J$307/J$204</f>
        <v/>
      </c>
      <c r="K288" s="87">
        <f>K185*K$307/K$204</f>
        <v/>
      </c>
      <c r="L288" s="87">
        <f>L185*L$307/L$204</f>
        <v/>
      </c>
      <c r="M288" s="87">
        <f>M185*M$307/M$204</f>
        <v/>
      </c>
      <c r="N288" s="87">
        <f>N185*N$307/N$204</f>
        <v/>
      </c>
      <c r="O288" s="87">
        <f>O185*O$307/O$204</f>
        <v/>
      </c>
      <c r="P288" s="85">
        <f>SUM(D288:O288)</f>
        <v/>
      </c>
      <c r="Q288" s="2362" t="n"/>
      <c r="R288" s="2362" t="n"/>
      <c r="S288" s="2362" t="n"/>
      <c r="T288" s="2362" t="n"/>
      <c r="U288" s="2362" t="n"/>
      <c r="V288" s="2362" t="n"/>
      <c r="W288" s="2362" t="n"/>
      <c r="X288" s="2362" t="n"/>
      <c r="Y288" s="2362" t="n"/>
      <c r="Z288" s="2362" t="n"/>
      <c r="AA288" s="2362" t="n"/>
      <c r="AB288" s="2362" t="n"/>
      <c r="AC288" s="2362" t="n"/>
      <c r="AD288" s="2362" t="n"/>
      <c r="AE288" s="2362" t="n"/>
    </row>
    <row customHeight="1" hidden="1" ht="14.25" outlineLevel="1" r="289" s="1843" spans="1:57">
      <c r="A289" s="2407" t="n"/>
      <c r="B289" s="123" t="n"/>
      <c r="C289" s="2386" t="s">
        <v>198</v>
      </c>
      <c r="D289" s="87">
        <f>D186*D$308/D$205</f>
        <v/>
      </c>
      <c r="E289" s="87">
        <f>E186*E$308/E$205</f>
        <v/>
      </c>
      <c r="F289" s="87">
        <f>F186*F$308/F$205</f>
        <v/>
      </c>
      <c r="G289" s="87">
        <f>G186*G$308/G$205</f>
        <v/>
      </c>
      <c r="H289" s="87">
        <f>H186*H$308/H$205</f>
        <v/>
      </c>
      <c r="I289" s="87">
        <f>I186*I$308/I$205</f>
        <v/>
      </c>
      <c r="J289" s="87">
        <f>J186*J$308/J$205</f>
        <v/>
      </c>
      <c r="K289" s="87">
        <f>K186*K$308/K$205</f>
        <v/>
      </c>
      <c r="L289" s="87">
        <f>L186*L$308/L$205</f>
        <v/>
      </c>
      <c r="M289" s="87">
        <f>M186*M$308/M$205</f>
        <v/>
      </c>
      <c r="N289" s="87">
        <f>N186*N$308/N$205</f>
        <v/>
      </c>
      <c r="O289" s="87">
        <f>O186*O$308/O$205</f>
        <v/>
      </c>
      <c r="P289" s="85">
        <f>SUM(D289:O289)</f>
        <v/>
      </c>
      <c r="Q289" s="2362" t="n"/>
      <c r="R289" s="2362" t="n"/>
      <c r="S289" s="2362" t="n"/>
      <c r="T289" s="2362" t="n"/>
      <c r="U289" s="2362" t="n"/>
      <c r="V289" s="2362" t="n"/>
      <c r="W289" s="2362" t="n"/>
      <c r="X289" s="2362" t="n"/>
      <c r="Y289" s="2362" t="n"/>
      <c r="Z289" s="2362" t="n"/>
      <c r="AA289" s="2362" t="n"/>
      <c r="AB289" s="2362" t="n"/>
      <c r="AC289" s="2362" t="n"/>
      <c r="AD289" s="2362" t="n"/>
      <c r="AE289" s="2362" t="n"/>
    </row>
    <row customFormat="1" customHeight="1" hidden="1" ht="14.25" outlineLevel="1" r="290" s="2437" spans="1:57">
      <c r="A290" s="2407" t="n"/>
      <c r="B290" s="123" t="n"/>
      <c r="C290" s="2385" t="s">
        <v>199</v>
      </c>
      <c r="D290" s="87">
        <f>D187*D$307/D$204</f>
        <v/>
      </c>
      <c r="E290" s="87">
        <f>E187*E$307/E$204</f>
        <v/>
      </c>
      <c r="F290" s="87">
        <f>F187*F$307/F$204</f>
        <v/>
      </c>
      <c r="G290" s="87">
        <f>G187*G$307/G$204</f>
        <v/>
      </c>
      <c r="H290" s="87">
        <f>H187*H$307/H$204</f>
        <v/>
      </c>
      <c r="I290" s="87">
        <f>I187*I$307/I$204</f>
        <v/>
      </c>
      <c r="J290" s="87">
        <f>J187*J$307/J$204</f>
        <v/>
      </c>
      <c r="K290" s="87">
        <f>K187*K$307/K$204</f>
        <v/>
      </c>
      <c r="L290" s="87">
        <f>L187*L$307/L$204</f>
        <v/>
      </c>
      <c r="M290" s="87">
        <f>M187*M$307/M$204</f>
        <v/>
      </c>
      <c r="N290" s="87">
        <f>N187*N$307/N$204</f>
        <v/>
      </c>
      <c r="O290" s="87">
        <f>O187*O$307/O$204</f>
        <v/>
      </c>
      <c r="P290" s="85">
        <f>SUM(D290:O290)</f>
        <v/>
      </c>
      <c r="Q290" s="2362" t="n"/>
      <c r="R290" s="2362" t="n"/>
      <c r="S290" s="2362" t="n"/>
      <c r="T290" s="2362" t="n"/>
      <c r="U290" s="2362" t="n"/>
      <c r="V290" s="2362" t="n"/>
      <c r="W290" s="2362" t="n"/>
      <c r="X290" s="2362" t="n"/>
      <c r="Y290" s="2362" t="n"/>
      <c r="Z290" s="2362" t="n"/>
      <c r="AA290" s="2362" t="n"/>
      <c r="AB290" s="2362" t="n"/>
      <c r="AC290" s="2362" t="n"/>
      <c r="AD290" s="2362" t="n"/>
      <c r="AE290" s="2362" t="n"/>
      <c r="AF290" s="2362" t="n"/>
      <c r="AG290" s="2362" t="n"/>
      <c r="AH290" s="2362" t="n"/>
      <c r="AI290" s="2362" t="n"/>
      <c r="AJ290" s="2362" t="n"/>
      <c r="AK290" s="2362" t="n"/>
      <c r="AL290" s="2362" t="n"/>
      <c r="AM290" s="2362" t="n"/>
      <c r="AN290" s="2362" t="n"/>
      <c r="AO290" s="2362" t="n"/>
      <c r="AP290" s="2362" t="n"/>
      <c r="AQ290" s="2362" t="n"/>
      <c r="AR290" s="2362" t="n"/>
      <c r="AS290" s="2362" t="n"/>
      <c r="AT290" s="2362" t="n"/>
      <c r="AU290" s="2362" t="n"/>
      <c r="AV290" s="2362" t="n"/>
      <c r="AW290" s="2362" t="n"/>
      <c r="AX290" s="2362" t="n"/>
      <c r="AY290" s="2362" t="n"/>
      <c r="AZ290" s="2362" t="n"/>
      <c r="BA290" s="2362" t="n"/>
      <c r="BB290" s="2362" t="n"/>
      <c r="BC290" s="2362" t="n"/>
      <c r="BD290" s="2362" t="n"/>
      <c r="BE290" s="2362" t="n"/>
    </row>
    <row customFormat="1" customHeight="1" hidden="1" ht="14.25" outlineLevel="1" r="291" s="2437" spans="1:57">
      <c r="A291" s="2407" t="n"/>
      <c r="B291" s="123" t="n"/>
      <c r="C291" s="2385" t="s">
        <v>200</v>
      </c>
      <c r="D291" s="87">
        <f>D188*D$308/D$205</f>
        <v/>
      </c>
      <c r="E291" s="87">
        <f>E188*E$308/E$205</f>
        <v/>
      </c>
      <c r="F291" s="87">
        <f>F188*F$308/F$205</f>
        <v/>
      </c>
      <c r="G291" s="87">
        <f>G188*G$308/G$205</f>
        <v/>
      </c>
      <c r="H291" s="87">
        <f>H188*H$308/H$205</f>
        <v/>
      </c>
      <c r="I291" s="87">
        <f>I188*I$308/I$205</f>
        <v/>
      </c>
      <c r="J291" s="87">
        <f>J188*J$308/J$205</f>
        <v/>
      </c>
      <c r="K291" s="87">
        <f>K188*K$308/K$205</f>
        <v/>
      </c>
      <c r="L291" s="87">
        <f>L188*L$308/L$205</f>
        <v/>
      </c>
      <c r="M291" s="87">
        <f>M188*M$308/M$205</f>
        <v/>
      </c>
      <c r="N291" s="87">
        <f>N188*N$308/N$205</f>
        <v/>
      </c>
      <c r="O291" s="87">
        <f>O188*O$308/O$205</f>
        <v/>
      </c>
      <c r="P291" s="85">
        <f>SUM(D291:O291)</f>
        <v/>
      </c>
      <c r="Q291" s="2362" t="n"/>
      <c r="R291" s="2362" t="n"/>
      <c r="S291" s="2362" t="n"/>
      <c r="T291" s="2362" t="n"/>
      <c r="U291" s="2362" t="n"/>
      <c r="V291" s="2362" t="n"/>
      <c r="W291" s="2362" t="n"/>
      <c r="X291" s="2362" t="n"/>
      <c r="Y291" s="2362" t="n"/>
      <c r="Z291" s="2362" t="n"/>
      <c r="AA291" s="2362" t="n"/>
      <c r="AB291" s="2362" t="n"/>
      <c r="AC291" s="2362" t="n"/>
      <c r="AD291" s="2362" t="n"/>
      <c r="AE291" s="2362" t="n"/>
      <c r="AF291" s="2362" t="n"/>
      <c r="AG291" s="2362" t="n"/>
      <c r="AH291" s="2362" t="n"/>
      <c r="AI291" s="2362" t="n"/>
      <c r="AJ291" s="2362" t="n"/>
      <c r="AK291" s="2362" t="n"/>
      <c r="AL291" s="2362" t="n"/>
      <c r="AM291" s="2362" t="n"/>
      <c r="AN291" s="2362" t="n"/>
      <c r="AO291" s="2362" t="n"/>
      <c r="AP291" s="2362" t="n"/>
      <c r="AQ291" s="2362" t="n"/>
      <c r="AR291" s="2362" t="n"/>
      <c r="AS291" s="2362" t="n"/>
      <c r="AT291" s="2362" t="n"/>
      <c r="AU291" s="2362" t="n"/>
      <c r="AV291" s="2362" t="n"/>
      <c r="AW291" s="2362" t="n"/>
      <c r="AX291" s="2362" t="n"/>
      <c r="AY291" s="2362" t="n"/>
      <c r="AZ291" s="2362" t="n"/>
      <c r="BA291" s="2362" t="n"/>
      <c r="BB291" s="2362" t="n"/>
      <c r="BC291" s="2362" t="n"/>
      <c r="BD291" s="2362" t="n"/>
      <c r="BE291" s="2362" t="n"/>
    </row>
    <row customFormat="1" customHeight="1" hidden="1" ht="14.25" outlineLevel="1" r="292" s="2369" spans="1:57">
      <c r="A292" s="2408" t="n"/>
      <c r="B292" s="71" t="n"/>
      <c r="C292" s="2385" t="s">
        <v>201</v>
      </c>
      <c r="D292" s="87">
        <f>D189*D$309/D$206</f>
        <v/>
      </c>
      <c r="E292" s="87">
        <f>E189*E$309/E$206</f>
        <v/>
      </c>
      <c r="F292" s="87">
        <f>F189*F$309/F$206</f>
        <v/>
      </c>
      <c r="G292" s="87">
        <f>G189*G$309/G$206</f>
        <v/>
      </c>
      <c r="H292" s="87">
        <f>H189*H$309/H$206</f>
        <v/>
      </c>
      <c r="I292" s="87">
        <f>I189*I$309/I$206</f>
        <v/>
      </c>
      <c r="J292" s="87">
        <f>J189*J$309/J$206</f>
        <v/>
      </c>
      <c r="K292" s="87">
        <f>K189*K$309/K$206</f>
        <v/>
      </c>
      <c r="L292" s="87">
        <f>L189*L$309/L$206</f>
        <v/>
      </c>
      <c r="M292" s="87">
        <f>M189*M$309/M$206</f>
        <v/>
      </c>
      <c r="N292" s="87">
        <f>N189*N$309/N$206</f>
        <v/>
      </c>
      <c r="O292" s="87">
        <f>O189*O$309/O$206</f>
        <v/>
      </c>
      <c r="P292" s="85">
        <f>SUM(D292:O292)</f>
        <v/>
      </c>
      <c r="Q292" s="2422" t="n"/>
      <c r="R292" s="2362" t="n"/>
      <c r="S292" s="2362" t="n"/>
      <c r="T292" s="2422" t="n"/>
      <c r="U292" s="2422" t="n"/>
      <c r="V292" s="2422" t="n"/>
      <c r="W292" s="2422" t="n"/>
      <c r="X292" s="2422" t="n"/>
      <c r="Y292" s="2422" t="n"/>
      <c r="Z292" s="2422" t="n"/>
      <c r="AA292" s="2422" t="n"/>
      <c r="AB292" s="2422" t="n"/>
      <c r="AC292" s="2422" t="n"/>
      <c r="AD292" s="2422" t="n"/>
      <c r="AE292" s="2422" t="n"/>
      <c r="AF292" s="2422" t="n"/>
      <c r="AG292" s="2422" t="n"/>
      <c r="AH292" s="2422" t="n"/>
      <c r="AI292" s="2422" t="n"/>
      <c r="AJ292" s="2422" t="n"/>
      <c r="AK292" s="2422" t="n"/>
      <c r="AL292" s="2422" t="n"/>
      <c r="AM292" s="2422" t="n"/>
      <c r="AN292" s="2422" t="n"/>
      <c r="AO292" s="2422" t="n"/>
      <c r="AP292" s="2422" t="n"/>
      <c r="AQ292" s="2422" t="n"/>
      <c r="AR292" s="2422" t="n"/>
      <c r="AS292" s="2422" t="n"/>
    </row>
    <row customHeight="1" hidden="1" ht="36" outlineLevel="1" r="293" s="1843" spans="1:57">
      <c r="A293" s="2408" t="n"/>
      <c r="B293" s="1171" t="n"/>
      <c r="C293" s="2387" t="s">
        <v>202</v>
      </c>
      <c r="D293" s="87">
        <f>D190*D$308/D$205</f>
        <v/>
      </c>
      <c r="E293" s="87">
        <f>E190*E$308/E$205</f>
        <v/>
      </c>
      <c r="F293" s="87">
        <f>F190*F$308/F$205</f>
        <v/>
      </c>
      <c r="G293" s="87">
        <f>G190*G$308/G$205</f>
        <v/>
      </c>
      <c r="H293" s="87">
        <f>H190*H$308/H$205</f>
        <v/>
      </c>
      <c r="I293" s="87">
        <f>I190*I$308/I$205</f>
        <v/>
      </c>
      <c r="J293" s="87">
        <f>J190*J$308/J$205</f>
        <v/>
      </c>
      <c r="K293" s="87">
        <f>K190*K$308/K$205</f>
        <v/>
      </c>
      <c r="L293" s="87">
        <f>L190*L$308/L$205</f>
        <v/>
      </c>
      <c r="M293" s="87">
        <f>M190*M$308/M$205</f>
        <v/>
      </c>
      <c r="N293" s="87">
        <f>N190*N$308/N$205</f>
        <v/>
      </c>
      <c r="O293" s="87">
        <f>O190*O$308/O$205</f>
        <v/>
      </c>
      <c r="P293" s="85">
        <f>SUM(D293:O293)</f>
        <v/>
      </c>
      <c r="Q293" s="2362" t="n"/>
      <c r="R293" s="2362" t="n"/>
      <c r="S293" s="2362" t="n"/>
      <c r="T293" s="2362" t="n"/>
      <c r="U293" s="2362" t="n"/>
      <c r="V293" s="2362" t="n"/>
      <c r="W293" s="2362" t="n"/>
      <c r="X293" s="2362" t="n"/>
      <c r="Y293" s="2362" t="n"/>
      <c r="Z293" s="2362" t="n"/>
      <c r="AA293" s="2362" t="n"/>
      <c r="AB293" s="2362" t="n"/>
      <c r="AC293" s="2362" t="n"/>
      <c r="AD293" s="2362" t="n"/>
      <c r="AE293" s="2362" t="n"/>
      <c r="AF293" s="2362" t="n"/>
      <c r="AG293" s="2362" t="n"/>
      <c r="AH293" s="2362" t="n"/>
      <c r="AI293" s="2362" t="n"/>
      <c r="AJ293" s="2362" t="n"/>
      <c r="AK293" s="2362" t="n"/>
      <c r="AL293" s="2362" t="n"/>
      <c r="AM293" s="2362" t="n"/>
      <c r="AN293" s="2362" t="n"/>
      <c r="AO293" s="2362" t="n"/>
      <c r="AP293" s="2362" t="n"/>
      <c r="AQ293" s="2362" t="n"/>
      <c r="AR293" s="2362" t="n"/>
      <c r="AS293" s="2362" t="n"/>
    </row>
    <row customHeight="1" hidden="1" ht="14.25" outlineLevel="1" r="294" s="1843" spans="1:57">
      <c r="A294" s="2407" t="n"/>
      <c r="B294" s="139" t="n"/>
      <c r="C294" s="2439" t="s">
        <v>216</v>
      </c>
      <c r="D294" s="1187">
        <f>D$191*SUM(D$301,D$306)/SUM(D$198,D$203)</f>
        <v/>
      </c>
      <c r="E294" s="1187">
        <f>E$191*SUM(E$301,E$306)/SUM(E$198,E$203)</f>
        <v/>
      </c>
      <c r="F294" s="1187">
        <f>F$191*SUM(F$301,F$306)/SUM(F$198,F$203)</f>
        <v/>
      </c>
      <c r="G294" s="1187">
        <f>G$191*SUM(G$301,G$306)/SUM(G$198,G$203)</f>
        <v/>
      </c>
      <c r="H294" s="1187">
        <f>H$191*SUM(H$301,H$306)/SUM(H$198,H$203)</f>
        <v/>
      </c>
      <c r="I294" s="1187">
        <f>I$191*SUM(I$301,I$306)/SUM(I$198,I$203)</f>
        <v/>
      </c>
      <c r="J294" s="1187">
        <f>J$191*SUM(J$301,J$306)/SUM(J$198,J$203)</f>
        <v/>
      </c>
      <c r="K294" s="1187">
        <f>K$191*SUM(K$301,K$306)/SUM(K$198,K$203)</f>
        <v/>
      </c>
      <c r="L294" s="1187">
        <f>L$191*SUM(L$301,L$306)/SUM(L$198,L$203)</f>
        <v/>
      </c>
      <c r="M294" s="1187">
        <f>M$191*SUM(M$301,M$306)/SUM(M$198,M$203)</f>
        <v/>
      </c>
      <c r="N294" s="1187">
        <f>N$191*SUM(N$301,N$306)/SUM(N$198,N$203)</f>
        <v/>
      </c>
      <c r="O294" s="1187">
        <f>O$191*SUM(O$301,O$306)/SUM(O$198,O$203)</f>
        <v/>
      </c>
      <c r="P294" s="1173">
        <f>SUM(D294:O294)</f>
        <v/>
      </c>
      <c r="Q294" s="2362" t="n"/>
      <c r="R294" s="2362" t="n"/>
      <c r="S294" s="2362" t="n"/>
      <c r="T294" s="2362" t="n"/>
      <c r="U294" s="2362" t="n"/>
      <c r="V294" s="2362" t="n"/>
      <c r="W294" s="2362" t="n"/>
      <c r="X294" s="2362" t="n"/>
      <c r="Y294" s="2362" t="n"/>
      <c r="Z294" s="2362" t="n"/>
      <c r="AA294" s="2362" t="n"/>
      <c r="AB294" s="2362" t="n"/>
      <c r="AC294" s="2362" t="n"/>
      <c r="AD294" s="2362" t="n"/>
      <c r="AE294" s="2362" t="n"/>
      <c r="AF294" s="2362" t="n"/>
      <c r="AG294" s="2362" t="n"/>
      <c r="AH294" s="2362" t="n"/>
      <c r="AI294" s="2362" t="n"/>
      <c r="AJ294" s="2362" t="n"/>
      <c r="AK294" s="2362" t="n"/>
      <c r="AL294" s="2362" t="n"/>
      <c r="AM294" s="2362" t="n"/>
      <c r="AN294" s="2362" t="n"/>
      <c r="AO294" s="2362" t="n"/>
      <c r="AP294" s="2362" t="n"/>
      <c r="AQ294" s="2362" t="n"/>
      <c r="AR294" s="2362" t="n"/>
      <c r="AS294" s="2362" t="n"/>
    </row>
    <row customHeight="1" hidden="1" ht="15" outlineLevel="1" r="295" s="1843" spans="1:57" thickBot="1">
      <c r="A295" s="2408" t="n"/>
      <c r="B295" s="70" t="s">
        <v>217</v>
      </c>
      <c r="C295" s="2406" t="n"/>
      <c r="D295" s="73">
        <f>SUM(D286:D294)</f>
        <v/>
      </c>
      <c r="E295" s="73">
        <f>SUM(E286:E294)</f>
        <v/>
      </c>
      <c r="F295" s="73">
        <f>SUM(F286:F294)</f>
        <v/>
      </c>
      <c r="G295" s="73">
        <f>SUM(G286:G294)</f>
        <v/>
      </c>
      <c r="H295" s="73">
        <f>SUM(H286:H294)</f>
        <v/>
      </c>
      <c r="I295" s="73">
        <f>SUM(I286:I294)</f>
        <v/>
      </c>
      <c r="J295" s="73">
        <f>SUM(J286:J294)</f>
        <v/>
      </c>
      <c r="K295" s="73">
        <f>SUM(K286:K294)</f>
        <v/>
      </c>
      <c r="L295" s="73">
        <f>SUM(L286:L294)</f>
        <v/>
      </c>
      <c r="M295" s="73">
        <f>SUM(M286:M294)</f>
        <v/>
      </c>
      <c r="N295" s="73">
        <f>SUM(N286:N294)</f>
        <v/>
      </c>
      <c r="O295" s="73">
        <f>SUM(O286:O294)</f>
        <v/>
      </c>
      <c r="P295" s="76">
        <f>SUM(D295:O295)</f>
        <v/>
      </c>
      <c r="R295" s="2422" t="n"/>
    </row>
    <row customFormat="1" customHeight="1" hidden="1" ht="15" outlineLevel="1" r="296" s="2362" spans="1:57" thickBot="1">
      <c r="A296" s="2362" t="n"/>
      <c r="B296" s="1324" t="n"/>
      <c r="C296" s="2449" t="s">
        <v>218</v>
      </c>
      <c r="D296" s="1323">
        <f>SUM(D285,D295)</f>
        <v/>
      </c>
      <c r="E296" s="1323">
        <f>SUM(E285,E295)</f>
        <v/>
      </c>
      <c r="F296" s="1323">
        <f>SUM(F285,F295)</f>
        <v/>
      </c>
      <c r="G296" s="1323">
        <f>SUM(G285,G295)</f>
        <v/>
      </c>
      <c r="H296" s="1323">
        <f>SUM(H285,H295)</f>
        <v/>
      </c>
      <c r="I296" s="1323">
        <f>SUM(I285,I295)</f>
        <v/>
      </c>
      <c r="J296" s="1323">
        <f>SUM(J285,J295)</f>
        <v/>
      </c>
      <c r="K296" s="1323">
        <f>SUM(K285,K295)</f>
        <v/>
      </c>
      <c r="L296" s="1323">
        <f>SUM(L285,L295)</f>
        <v/>
      </c>
      <c r="M296" s="1323">
        <f>SUM(M285,M295)</f>
        <v/>
      </c>
      <c r="N296" s="1323">
        <f>SUM(N285,N295)</f>
        <v/>
      </c>
      <c r="O296" s="1323">
        <f>SUM(O285,O295)</f>
        <v/>
      </c>
      <c r="P296" s="89">
        <f>SUM(P285,P295)</f>
        <v/>
      </c>
      <c r="R296" s="2362" t="n"/>
    </row>
    <row customHeight="1" hidden="1" ht="14.25" outlineLevel="1" r="297" s="1843" spans="1:57">
      <c r="A297" s="2392" t="s">
        <v>203</v>
      </c>
      <c r="B297" s="2395" t="n"/>
      <c r="C297" s="2413" t="s">
        <v>204</v>
      </c>
      <c r="D297" s="1218" t="n">
        <v>1</v>
      </c>
      <c r="E297" s="1218" t="n">
        <v>1</v>
      </c>
      <c r="F297" s="1218" t="n">
        <v>1</v>
      </c>
      <c r="G297" s="1218" t="n">
        <v>1</v>
      </c>
      <c r="H297" s="1218" t="n">
        <v>1</v>
      </c>
      <c r="I297" s="1218" t="n">
        <v>1</v>
      </c>
      <c r="J297" s="1218" t="n">
        <v>1</v>
      </c>
      <c r="K297" s="1218" t="n">
        <v>1</v>
      </c>
      <c r="L297" s="1218" t="n">
        <v>1</v>
      </c>
      <c r="M297" s="1218" t="n">
        <v>1</v>
      </c>
      <c r="N297" s="1218" t="n">
        <v>1</v>
      </c>
      <c r="O297" s="1218" t="n">
        <v>1</v>
      </c>
      <c r="P297" s="137" t="n"/>
      <c r="R297" s="2362" t="n"/>
    </row>
    <row customHeight="1" hidden="1" ht="14.25" outlineLevel="1" r="298" s="1843" spans="1:57">
      <c r="B298" s="2395" t="n"/>
      <c r="C298" s="2399" t="s">
        <v>14</v>
      </c>
      <c r="D298" s="1395" t="n">
        <v>0</v>
      </c>
      <c r="E298" s="1395" t="n">
        <v>0</v>
      </c>
      <c r="F298" s="1395" t="n">
        <v>0</v>
      </c>
      <c r="G298" s="1395" t="n">
        <v>0</v>
      </c>
      <c r="H298" s="1395" t="n">
        <v>0</v>
      </c>
      <c r="I298" s="1395" t="n">
        <v>0</v>
      </c>
      <c r="J298" s="1395" t="n">
        <v>0</v>
      </c>
      <c r="K298" s="1395" t="n">
        <v>0</v>
      </c>
      <c r="L298" s="1395" t="n">
        <v>0</v>
      </c>
      <c r="M298" s="1395" t="n">
        <v>0</v>
      </c>
      <c r="N298" s="1395" t="n">
        <v>0</v>
      </c>
      <c r="O298" s="1395" t="n">
        <v>0</v>
      </c>
      <c r="P298" s="137" t="n"/>
      <c r="R298" s="2362" t="n"/>
    </row>
    <row customHeight="1" hidden="1" ht="14.25" outlineLevel="1" r="299" s="1843" spans="1:57">
      <c r="B299" s="2395" t="n"/>
      <c r="C299" s="2399" t="s">
        <v>15</v>
      </c>
      <c r="D299" s="1395" t="n">
        <v>0</v>
      </c>
      <c r="E299" s="1395" t="n">
        <v>0</v>
      </c>
      <c r="F299" s="1395" t="n">
        <v>0</v>
      </c>
      <c r="G299" s="1395" t="n">
        <v>0</v>
      </c>
      <c r="H299" s="1395" t="n">
        <v>0</v>
      </c>
      <c r="I299" s="1395" t="n">
        <v>0</v>
      </c>
      <c r="J299" s="1395" t="n">
        <v>0</v>
      </c>
      <c r="K299" s="1395" t="n">
        <v>0</v>
      </c>
      <c r="L299" s="1395" t="n">
        <v>0</v>
      </c>
      <c r="M299" s="1395" t="n">
        <v>0</v>
      </c>
      <c r="N299" s="1395" t="n">
        <v>0</v>
      </c>
      <c r="O299" s="1395" t="n">
        <v>0</v>
      </c>
      <c r="P299" s="137" t="n"/>
      <c r="R299" s="2362" t="n"/>
    </row>
    <row customHeight="1" hidden="1" ht="14.25" outlineLevel="1" r="300" s="1843" spans="1:57">
      <c r="B300" s="2395" t="n"/>
      <c r="C300" s="2399" t="s">
        <v>16</v>
      </c>
      <c r="D300" s="1395" t="n">
        <v>0</v>
      </c>
      <c r="E300" s="1395" t="n">
        <v>0</v>
      </c>
      <c r="F300" s="1395" t="n">
        <v>0</v>
      </c>
      <c r="G300" s="1395" t="n">
        <v>0</v>
      </c>
      <c r="H300" s="1395" t="n">
        <v>0</v>
      </c>
      <c r="I300" s="1395" t="n">
        <v>0</v>
      </c>
      <c r="J300" s="1395" t="n">
        <v>0</v>
      </c>
      <c r="K300" s="1395" t="n">
        <v>0</v>
      </c>
      <c r="L300" s="1395" t="n">
        <v>0</v>
      </c>
      <c r="M300" s="1395" t="n">
        <v>0</v>
      </c>
      <c r="N300" s="1395" t="n">
        <v>0</v>
      </c>
      <c r="O300" s="1395" t="n">
        <v>0</v>
      </c>
      <c r="P300" s="137" t="n"/>
    </row>
    <row customFormat="1" customHeight="1" hidden="1" ht="14.25" outlineLevel="1" r="301" s="2362" spans="1:57">
      <c r="B301" s="2395" t="n"/>
      <c r="C301" s="2396" t="s">
        <v>80</v>
      </c>
      <c r="D301" s="192">
        <f>SUM(D297:D300)</f>
        <v/>
      </c>
      <c r="E301" s="192">
        <f>SUM(E297:E300)</f>
        <v/>
      </c>
      <c r="F301" s="192">
        <f>SUM(F297:F300)</f>
        <v/>
      </c>
      <c r="G301" s="192">
        <f>SUM(G297:G300)</f>
        <v/>
      </c>
      <c r="H301" s="192">
        <f>SUM(H297:H300)</f>
        <v/>
      </c>
      <c r="I301" s="192">
        <f>SUM(I297:I300)</f>
        <v/>
      </c>
      <c r="J301" s="192">
        <f>SUM(J297:J300)</f>
        <v/>
      </c>
      <c r="K301" s="192">
        <f>SUM(K297:K300)</f>
        <v/>
      </c>
      <c r="L301" s="192">
        <f>SUM(L297:L300)</f>
        <v/>
      </c>
      <c r="M301" s="192">
        <f>SUM(M297:M300)</f>
        <v/>
      </c>
      <c r="N301" s="192">
        <f>SUM(N297:N300)</f>
        <v/>
      </c>
      <c r="O301" s="1243">
        <f>SUM(O297:O300)</f>
        <v/>
      </c>
      <c r="P301" s="137" t="n"/>
    </row>
    <row customFormat="1" customHeight="1" hidden="1" ht="14.25" outlineLevel="1" r="302" s="2362" spans="1:57">
      <c r="B302" s="2395" t="n"/>
      <c r="C302" s="2396" t="s">
        <v>206</v>
      </c>
      <c r="D302" s="1234" t="n">
        <v>1</v>
      </c>
      <c r="E302" s="1234" t="n">
        <v>1</v>
      </c>
      <c r="F302" s="1234" t="n">
        <v>1</v>
      </c>
      <c r="G302" s="1234" t="n">
        <v>1</v>
      </c>
      <c r="H302" s="1234" t="n">
        <v>1</v>
      </c>
      <c r="I302" s="1234" t="n">
        <v>1</v>
      </c>
      <c r="J302" s="1234" t="n">
        <v>1</v>
      </c>
      <c r="K302" s="1234" t="n">
        <v>1</v>
      </c>
      <c r="L302" s="1234" t="n">
        <v>1</v>
      </c>
      <c r="M302" s="1234" t="n">
        <v>1</v>
      </c>
      <c r="N302" s="1234" t="n">
        <v>1</v>
      </c>
      <c r="O302" s="1234" t="n">
        <v>1</v>
      </c>
      <c r="P302" s="1240" t="n"/>
    </row>
    <row customFormat="1" customHeight="1" hidden="1" ht="14.25" outlineLevel="1" r="303" s="2362" spans="1:57">
      <c r="B303" s="2395" t="n"/>
      <c r="C303" s="2397" t="s">
        <v>207</v>
      </c>
      <c r="D303" s="1251">
        <f>D301-D302</f>
        <v/>
      </c>
      <c r="E303" s="1251">
        <f>E301-E302</f>
        <v/>
      </c>
      <c r="F303" s="1251">
        <f>F301-F302</f>
        <v/>
      </c>
      <c r="G303" s="1251">
        <f>G301-G302</f>
        <v/>
      </c>
      <c r="H303" s="1251">
        <f>H301-H302</f>
        <v/>
      </c>
      <c r="I303" s="1251">
        <f>I301-I302</f>
        <v/>
      </c>
      <c r="J303" s="1251">
        <f>J301-J302</f>
        <v/>
      </c>
      <c r="K303" s="1251">
        <f>K301-K302</f>
        <v/>
      </c>
      <c r="L303" s="1251">
        <f>L301-L302</f>
        <v/>
      </c>
      <c r="M303" s="1251">
        <f>M301-M302</f>
        <v/>
      </c>
      <c r="N303" s="1251">
        <f>N301-N302</f>
        <v/>
      </c>
      <c r="O303" s="1251">
        <f>O301-O302</f>
        <v/>
      </c>
      <c r="P303" s="1216" t="n"/>
    </row>
    <row customHeight="1" hidden="1" ht="14.25" outlineLevel="1" r="304" s="1843" spans="1:57">
      <c r="A304" s="2434" t="s">
        <v>157</v>
      </c>
      <c r="B304" s="2395" t="n"/>
      <c r="C304" s="2441" t="s">
        <v>208</v>
      </c>
      <c r="D304" s="1247" t="n"/>
      <c r="E304" s="1247" t="n"/>
      <c r="F304" s="1247" t="n"/>
      <c r="G304" s="1247" t="n"/>
      <c r="H304" s="1247" t="n"/>
      <c r="I304" s="1247" t="n"/>
      <c r="J304" s="1247" t="n"/>
      <c r="K304" s="1247" t="n"/>
      <c r="L304" s="1247" t="n"/>
      <c r="M304" s="1247" t="n"/>
      <c r="N304" s="1247" t="n"/>
      <c r="O304" s="1248" t="n"/>
      <c r="P304" s="1216" t="n"/>
      <c r="R304" s="2362" t="n"/>
    </row>
    <row customHeight="1" hidden="1" ht="14.25" outlineLevel="1" r="305" s="1843" spans="1:57">
      <c r="B305" s="2395" t="n"/>
      <c r="C305" s="2442" t="s">
        <v>209</v>
      </c>
      <c r="D305" s="1232">
        <f>SUMPRODUCT(('FY18 SET'!$B$4:$B67=$A$280)*('FY18 SET'!$F$4:$F67="实际OS")*('FY18 SET'!G$4:G$67))</f>
        <v/>
      </c>
      <c r="E305" s="1232">
        <f>SUMPRODUCT(('FY18 SET'!$B$4:$B67=$A$280)*('FY18 SET'!$F$4:$F67="实际OS")*('FY18 SET'!H$4:H$67))</f>
        <v/>
      </c>
      <c r="F305" s="1232">
        <f>SUMPRODUCT(('FY18 SET'!$B$4:$B67=$A$280)*('FY18 SET'!$F$4:$F67="实际OS")*('FY18 SET'!I$4:I$67))</f>
        <v/>
      </c>
      <c r="G305" s="1232">
        <f>SUMPRODUCT(('FY18 SET'!$B$4:$B67=$A$280)*('FY18 SET'!$F$4:$F67="实际OS")*('FY18 SET'!J$4:J$67))</f>
        <v/>
      </c>
      <c r="H305" s="1232">
        <f>SUMPRODUCT(('FY18 SET'!$B$4:$B67=$A$280)*('FY18 SET'!$F$4:$F67="实际OS")*('FY18 SET'!K$4:K$67))</f>
        <v/>
      </c>
      <c r="I305" s="1232">
        <f>SUMPRODUCT(('FY18 SET'!$B$4:$B67=$A$280)*('FY18 SET'!$F$4:$F67="实际OS")*('FY18 SET'!L$4:L$67))</f>
        <v/>
      </c>
      <c r="J305" s="1232">
        <f>SUMPRODUCT(('FY18 SET'!$B$4:$B67=$A$280)*('FY18 SET'!$F$4:$F67="实际OS")*('FY18 SET'!N$4:N$67))</f>
        <v/>
      </c>
      <c r="K305" s="1232">
        <f>SUMPRODUCT(('FY18 SET'!$B$4:$B67=$A$280)*('FY18 SET'!$F$4:$F67="实际OS")*('FY18 SET'!O$4:O$67))</f>
        <v/>
      </c>
      <c r="L305" s="1232">
        <f>SUMPRODUCT(('FY18 SET'!$B$4:$B67=$A$280)*('FY18 SET'!$F$4:$F67="实际OS")*('FY18 SET'!P$4:P$67))</f>
        <v/>
      </c>
      <c r="M305" s="1232">
        <f>SUMPRODUCT(('FY18 SET'!$B$4:$B67=$A$280)*('FY18 SET'!$F$4:$F67="实际OS")*('FY18 SET'!Q$4:Q$67))</f>
        <v/>
      </c>
      <c r="N305" s="1232">
        <f>SUMPRODUCT(('FY18 SET'!$B$4:$B67=$A$280)*('FY18 SET'!$F$4:$F67="实际OS")*('FY18 SET'!R$4:R$67))</f>
        <v/>
      </c>
      <c r="O305" s="1232">
        <f>SUMPRODUCT(('FY18 SET'!$B$4:$B67=$A$280)*('FY18 SET'!$F$4:$F67="实际OS")*('FY18 SET'!S$4:S$67))</f>
        <v/>
      </c>
      <c r="P305" s="1216" t="n"/>
      <c r="R305" s="2362" t="n"/>
    </row>
    <row customHeight="1" hidden="1" ht="14.25" outlineLevel="1" r="306" s="1843" spans="1:57">
      <c r="B306" s="2395" t="n"/>
      <c r="C306" s="2443" t="s">
        <v>211</v>
      </c>
      <c r="D306" s="1233">
        <f>SUM(D304:D305)</f>
        <v/>
      </c>
      <c r="E306" s="1233">
        <f>SUM(E304:E305)</f>
        <v/>
      </c>
      <c r="F306" s="1233">
        <f>SUM(F304:F305)</f>
        <v/>
      </c>
      <c r="G306" s="1233">
        <f>SUM(G304:G305)</f>
        <v/>
      </c>
      <c r="H306" s="1233">
        <f>SUM(H304:H305)</f>
        <v/>
      </c>
      <c r="I306" s="1233">
        <f>SUM(I304:I305)</f>
        <v/>
      </c>
      <c r="J306" s="1233">
        <f>SUM(J304:J305)</f>
        <v/>
      </c>
      <c r="K306" s="1233">
        <f>SUM(K304:K305)</f>
        <v/>
      </c>
      <c r="L306" s="1233">
        <f>SUM(L304:L305)</f>
        <v/>
      </c>
      <c r="M306" s="1233">
        <f>SUM(M304:M305)</f>
        <v/>
      </c>
      <c r="N306" s="1233">
        <f>SUM(N304:N305)</f>
        <v/>
      </c>
      <c r="O306" s="1250">
        <f>SUM(O304:O305)</f>
        <v/>
      </c>
      <c r="P306" s="1216" t="n"/>
    </row>
    <row customFormat="1" customHeight="1" hidden="1" ht="14.25" outlineLevel="1" r="307" s="2362" spans="1:57">
      <c r="A307" s="2416" t="s">
        <v>219</v>
      </c>
      <c r="B307" s="2417" t="n"/>
      <c r="C307" s="2444" t="s">
        <v>220</v>
      </c>
      <c r="D307" s="1278">
        <f>SUM(D302,D304)</f>
        <v/>
      </c>
      <c r="E307" s="1270">
        <f>SUM(E302,E304)</f>
        <v/>
      </c>
      <c r="F307" s="1270">
        <f>SUM(F302,F304)</f>
        <v/>
      </c>
      <c r="G307" s="1270">
        <f>SUM(G302,G304)</f>
        <v/>
      </c>
      <c r="H307" s="1270">
        <f>SUM(H302,H304)</f>
        <v/>
      </c>
      <c r="I307" s="1270">
        <f>SUM(I302,I304)</f>
        <v/>
      </c>
      <c r="J307" s="1270">
        <f>SUM(J302,J304)</f>
        <v/>
      </c>
      <c r="K307" s="1270">
        <f>SUM(K302,K304)</f>
        <v/>
      </c>
      <c r="L307" s="1270">
        <f>SUM(L302,L304)</f>
        <v/>
      </c>
      <c r="M307" s="1270">
        <f>SUM(M302,M304)</f>
        <v/>
      </c>
      <c r="N307" s="1270">
        <f>SUM(N302,N304)</f>
        <v/>
      </c>
      <c r="O307" s="1271">
        <f>SUM(O302,O304)</f>
        <v/>
      </c>
      <c r="P307" s="137" t="n"/>
    </row>
    <row customFormat="1" customHeight="1" hidden="1" ht="14.25" outlineLevel="1" r="308" s="2362" spans="1:57">
      <c r="B308" s="2419" t="n"/>
      <c r="C308" s="2446" t="s">
        <v>221</v>
      </c>
      <c r="D308" s="1279">
        <f>SUM(D303,D305)</f>
        <v/>
      </c>
      <c r="E308" s="140">
        <f>SUM(E303,E305)</f>
        <v/>
      </c>
      <c r="F308" s="140">
        <f>SUM(F303,F305)</f>
        <v/>
      </c>
      <c r="G308" s="140">
        <f>SUM(G303,G305)</f>
        <v/>
      </c>
      <c r="H308" s="140">
        <f>SUM(H303,H305)</f>
        <v/>
      </c>
      <c r="I308" s="140">
        <f>SUM(I303,I305)</f>
        <v/>
      </c>
      <c r="J308" s="140">
        <f>SUM(J303,J305)</f>
        <v/>
      </c>
      <c r="K308" s="140">
        <f>SUM(K303,K305)</f>
        <v/>
      </c>
      <c r="L308" s="140">
        <f>SUM(L303,L305)</f>
        <v/>
      </c>
      <c r="M308" s="140">
        <f>SUM(M303,M305)</f>
        <v/>
      </c>
      <c r="N308" s="140">
        <f>SUM(N303,N305)</f>
        <v/>
      </c>
      <c r="O308" s="1273">
        <f>SUM(O303,O305)</f>
        <v/>
      </c>
      <c r="P308" s="137" t="n"/>
    </row>
    <row customFormat="1" customHeight="1" hidden="1" ht="14.25" outlineLevel="1" r="309" s="2362" spans="1:57">
      <c r="B309" s="1274" t="n"/>
      <c r="C309" s="2447" t="s">
        <v>222</v>
      </c>
      <c r="D309" s="1280">
        <f>SUM(D307:D308)</f>
        <v/>
      </c>
      <c r="E309" s="1276">
        <f>SUM(E307:E308)</f>
        <v/>
      </c>
      <c r="F309" s="1276">
        <f>SUM(F307:F308)</f>
        <v/>
      </c>
      <c r="G309" s="1276">
        <f>SUM(G307:G308)</f>
        <v/>
      </c>
      <c r="H309" s="1276">
        <f>SUM(H307:H308)</f>
        <v/>
      </c>
      <c r="I309" s="1276">
        <f>SUM(I307:I308)</f>
        <v/>
      </c>
      <c r="J309" s="1276">
        <f>SUM(J307:J308)</f>
        <v/>
      </c>
      <c r="K309" s="1276">
        <f>SUM(K307:K308)</f>
        <v/>
      </c>
      <c r="L309" s="1276">
        <f>SUM(L307:L308)</f>
        <v/>
      </c>
      <c r="M309" s="1276">
        <f>SUM(M307:M308)</f>
        <v/>
      </c>
      <c r="N309" s="1276">
        <f>SUM(N307:N308)</f>
        <v/>
      </c>
      <c r="O309" s="1277">
        <f>SUM(O307:O308)</f>
        <v/>
      </c>
      <c r="P309" s="137" t="n"/>
    </row>
    <row customFormat="1" customHeight="1" hidden="1" ht="14.25" outlineLevel="1" r="310" s="2362" spans="1:57">
      <c r="A310" s="2362" t="n"/>
      <c r="B310" s="1324" t="n"/>
      <c r="C310" s="2420" t="n"/>
      <c r="D310" s="137" t="n"/>
      <c r="E310" s="137" t="n"/>
      <c r="F310" s="137" t="n"/>
      <c r="G310" s="137" t="n"/>
      <c r="H310" s="137" t="n"/>
      <c r="I310" s="137" t="n"/>
      <c r="J310" s="137" t="n"/>
      <c r="K310" s="137" t="n"/>
      <c r="L310" s="137" t="n"/>
      <c r="M310" s="137" t="n"/>
      <c r="N310" s="137" t="n"/>
      <c r="O310" s="137" t="n"/>
      <c r="P310" s="137" t="n"/>
    </row>
    <row customHeight="1" hidden="1" ht="15.75" outlineLevel="1" r="311" s="1843" spans="1:57">
      <c r="A311" s="2370" t="n"/>
      <c r="B311" s="80" t="n"/>
      <c r="C311" s="2371" t="n"/>
      <c r="D311" s="2372" t="n">
        <v>43191</v>
      </c>
      <c r="E311" s="2372" t="n">
        <v>43221</v>
      </c>
      <c r="F311" s="2372" t="n">
        <v>43252</v>
      </c>
      <c r="G311" s="2372" t="n">
        <v>43282</v>
      </c>
      <c r="H311" s="2372" t="n">
        <v>43313</v>
      </c>
      <c r="I311" s="2372" t="n">
        <v>43344</v>
      </c>
      <c r="J311" s="2372" t="n">
        <v>43374</v>
      </c>
      <c r="K311" s="2372" t="n">
        <v>43405</v>
      </c>
      <c r="L311" s="2372" t="n">
        <v>43435</v>
      </c>
      <c r="M311" s="2372" t="n">
        <v>43466</v>
      </c>
      <c r="N311" s="2372" t="n">
        <v>43497</v>
      </c>
      <c r="O311" s="2372" t="n">
        <v>43525</v>
      </c>
      <c r="P311" s="2373" t="s">
        <v>55</v>
      </c>
      <c r="R311" s="2362" t="n"/>
      <c r="S311" s="2362" t="n"/>
    </row>
    <row customHeight="1" hidden="1" ht="15.75" outlineLevel="1" r="312" s="1843" spans="1:57">
      <c r="A312" s="2375" t="s">
        <v>104</v>
      </c>
      <c r="B312" s="64" t="n"/>
      <c r="C312" s="2376" t="s">
        <v>187</v>
      </c>
      <c r="D312" s="1381">
        <f>D331*D632+D332*D633+D333*D634+D334*D635</f>
        <v/>
      </c>
      <c r="E312" s="1381">
        <f>E331*E632+E332*E633+E333*E634+E334*E635</f>
        <v/>
      </c>
      <c r="F312" s="1381">
        <f>F331*F632+F332*F633+F333*F634+F334*F635</f>
        <v/>
      </c>
      <c r="G312" s="1381">
        <f>G331*G632+G332*G633+G333*G634+G334*G635</f>
        <v/>
      </c>
      <c r="H312" s="1381">
        <f>H331*H632+H332*H633+H333*H634+H334*H635</f>
        <v/>
      </c>
      <c r="I312" s="1381">
        <f>I331*I632+I332*I633+I333*I634+I334*I635</f>
        <v/>
      </c>
      <c r="J312" s="1381">
        <f>J331*J632+J332*J633+J333*J634+J334*J635</f>
        <v/>
      </c>
      <c r="K312" s="1381">
        <f>K331*K632+K332*K633+K333*K634+K334*K635</f>
        <v/>
      </c>
      <c r="L312" s="1381">
        <f>L331*L632+L332*L633+L333*L634+L334*L635</f>
        <v/>
      </c>
      <c r="M312" s="1381">
        <f>M331*M632+M332*M633+M333*M634+M334*M635</f>
        <v/>
      </c>
      <c r="N312" s="1381">
        <f>N331*N632+N332*N633+N333*N634+N334*N635</f>
        <v/>
      </c>
      <c r="O312" s="1381">
        <f>O331*O632+O332*O633+O333*O634+O334*O635</f>
        <v/>
      </c>
      <c r="P312" s="49">
        <f>SUM(D312:O312)</f>
        <v/>
      </c>
      <c r="R312" s="2362" t="n"/>
      <c r="S312" s="2362" t="n"/>
    </row>
    <row customHeight="1" hidden="1" ht="14.25" outlineLevel="1" r="313" s="1843" spans="1:57">
      <c r="A313" s="2436" t="n"/>
      <c r="B313" s="66" t="n"/>
      <c r="C313" s="2379" t="s">
        <v>189</v>
      </c>
      <c r="D313" s="1380">
        <f>D176*D$335/D$198</f>
        <v/>
      </c>
      <c r="E313" s="1380">
        <f>E176*E$335/E$198</f>
        <v/>
      </c>
      <c r="F313" s="1380">
        <f>F176*F$335/F$198</f>
        <v/>
      </c>
      <c r="G313" s="1380">
        <f>G176*G$335/G$198</f>
        <v/>
      </c>
      <c r="H313" s="1380">
        <f>H176*H$335/H$198</f>
        <v/>
      </c>
      <c r="I313" s="1380">
        <f>I176*I$335/I$198</f>
        <v/>
      </c>
      <c r="J313" s="1380">
        <f>J176*J$335/J$198</f>
        <v/>
      </c>
      <c r="K313" s="1380">
        <f>K176*K$335/K$198</f>
        <v/>
      </c>
      <c r="L313" s="1380">
        <f>L176*L$335/L$198</f>
        <v/>
      </c>
      <c r="M313" s="1380">
        <f>M176*M$335/M$198</f>
        <v/>
      </c>
      <c r="N313" s="1380">
        <f>N176*N$335/N$198</f>
        <v/>
      </c>
      <c r="O313" s="1380">
        <f>O176*O$335/O$198</f>
        <v/>
      </c>
      <c r="P313" s="46">
        <f>SUM(D313:O313)</f>
        <v/>
      </c>
      <c r="R313" s="2362" t="n"/>
      <c r="S313" s="2362" t="n"/>
    </row>
    <row customHeight="1" hidden="1" ht="15.75" outlineLevel="1" r="314" s="1843" spans="1:57">
      <c r="A314" s="2403" t="s">
        <v>111</v>
      </c>
      <c r="B314" s="66" t="n"/>
      <c r="C314" s="2379" t="s">
        <v>212</v>
      </c>
      <c r="D314" s="1380">
        <f>D177*D$335/D$198</f>
        <v/>
      </c>
      <c r="E314" s="1380">
        <f>E177*E$335/E$198</f>
        <v/>
      </c>
      <c r="F314" s="1380">
        <f>F177*F$335/F$198</f>
        <v/>
      </c>
      <c r="G314" s="1380">
        <f>G177*G$335/G$198</f>
        <v/>
      </c>
      <c r="H314" s="1380">
        <f>H177*H$335/H$198</f>
        <v/>
      </c>
      <c r="I314" s="1380">
        <f>I177*I$335/I$198</f>
        <v/>
      </c>
      <c r="J314" s="1380">
        <f>J177*J$335/J$198</f>
        <v/>
      </c>
      <c r="K314" s="1380">
        <f>K177*K$335/K$198</f>
        <v/>
      </c>
      <c r="L314" s="1380">
        <f>L177*L$335/L$198</f>
        <v/>
      </c>
      <c r="M314" s="1380">
        <f>M177*M$335/M$198</f>
        <v/>
      </c>
      <c r="N314" s="1380">
        <f>N177*N$335/N$198</f>
        <v/>
      </c>
      <c r="O314" s="1380">
        <f>O177*O$335/O$198</f>
        <v/>
      </c>
      <c r="P314" s="46">
        <f>SUM(D314:O314)</f>
        <v/>
      </c>
      <c r="R314" s="2362" t="n"/>
      <c r="S314" s="2362" t="n"/>
    </row>
    <row customHeight="1" hidden="1" ht="14.25" outlineLevel="1" r="315" s="1843" spans="1:57">
      <c r="A315" s="2381" t="n"/>
      <c r="B315" s="66" t="n"/>
      <c r="C315" s="2379" t="s">
        <v>191</v>
      </c>
      <c r="D315" s="1380">
        <f>D178*D$335/D$198</f>
        <v/>
      </c>
      <c r="E315" s="1380">
        <f>E178*E$335/E$198</f>
        <v/>
      </c>
      <c r="F315" s="1380">
        <f>F178*F$335/F$198</f>
        <v/>
      </c>
      <c r="G315" s="1380">
        <f>G178*G$335/G$198</f>
        <v/>
      </c>
      <c r="H315" s="1380">
        <f>H178*H$335/H$198</f>
        <v/>
      </c>
      <c r="I315" s="1380">
        <f>I178*I$335/I$198</f>
        <v/>
      </c>
      <c r="J315" s="1380">
        <f>J178*J$335/J$198</f>
        <v/>
      </c>
      <c r="K315" s="1380">
        <f>K178*K$335/K$198</f>
        <v/>
      </c>
      <c r="L315" s="1380">
        <f>L178*L$335/L$198</f>
        <v/>
      </c>
      <c r="M315" s="1380">
        <f>M178*M$335/M$198</f>
        <v/>
      </c>
      <c r="N315" s="1380">
        <f>N178*N$335/N$198</f>
        <v/>
      </c>
      <c r="O315" s="1380">
        <f>O178*O$335/O$198</f>
        <v/>
      </c>
      <c r="P315" s="46">
        <f>SUM(D315:O315)</f>
        <v/>
      </c>
      <c r="R315" s="2362" t="n"/>
      <c r="S315" s="2362" t="n"/>
    </row>
    <row customHeight="1" hidden="1" ht="14.25" outlineLevel="1" r="316" s="1843" spans="1:57">
      <c r="A316" s="2381" t="n"/>
      <c r="B316" s="66" t="n"/>
      <c r="C316" s="2379" t="s">
        <v>192</v>
      </c>
      <c r="D316" s="1380">
        <f>D179*D$335/D$198</f>
        <v/>
      </c>
      <c r="E316" s="1380">
        <f>E179*E$335/E$198</f>
        <v/>
      </c>
      <c r="F316" s="1380">
        <f>F179*F$335/F$198</f>
        <v/>
      </c>
      <c r="G316" s="1380">
        <f>G179*G$335/G$198</f>
        <v/>
      </c>
      <c r="H316" s="1380">
        <f>H179*H$335/H$198</f>
        <v/>
      </c>
      <c r="I316" s="1380">
        <f>I179*I$335/I$198</f>
        <v/>
      </c>
      <c r="J316" s="1380">
        <f>J179*J$335/J$198</f>
        <v/>
      </c>
      <c r="K316" s="1380">
        <f>K179*K$335/K$198</f>
        <v/>
      </c>
      <c r="L316" s="1380">
        <f>L179*L$335/L$198</f>
        <v/>
      </c>
      <c r="M316" s="1380">
        <f>M179*M$335/M$198</f>
        <v/>
      </c>
      <c r="N316" s="1380">
        <f>N179*N$335/N$198</f>
        <v/>
      </c>
      <c r="O316" s="1380">
        <f>O179*O$335/O$198</f>
        <v/>
      </c>
      <c r="P316" s="46">
        <f>SUM(D316:O316)</f>
        <v/>
      </c>
      <c r="R316" s="2362" t="n"/>
      <c r="S316" s="2362" t="n"/>
    </row>
    <row customHeight="1" hidden="1" ht="14.25" outlineLevel="1" r="317" s="1843" spans="1:57">
      <c r="A317" s="2381" t="n"/>
      <c r="B317" s="66" t="n"/>
      <c r="C317" s="2379" t="s">
        <v>213</v>
      </c>
      <c r="D317" s="1380">
        <f>D180*D$335/D$198</f>
        <v/>
      </c>
      <c r="E317" s="1380">
        <f>E180*E$335/E$198</f>
        <v/>
      </c>
      <c r="F317" s="1380">
        <f>F180*F$335/F$198</f>
        <v/>
      </c>
      <c r="G317" s="1380">
        <f>G180*G$335/G$198</f>
        <v/>
      </c>
      <c r="H317" s="1380">
        <f>H180*H$335/H$198</f>
        <v/>
      </c>
      <c r="I317" s="1380">
        <f>I180*I$335/I$198</f>
        <v/>
      </c>
      <c r="J317" s="1380">
        <f>J180*J$335/J$198</f>
        <v/>
      </c>
      <c r="K317" s="1380">
        <f>K180*K$335/K$198</f>
        <v/>
      </c>
      <c r="L317" s="1380">
        <f>L180*L$335/L$198</f>
        <v/>
      </c>
      <c r="M317" s="1380">
        <f>M180*M$335/M$198</f>
        <v/>
      </c>
      <c r="N317" s="1380">
        <f>N180*N$335/N$198</f>
        <v/>
      </c>
      <c r="O317" s="1380">
        <f>O180*O$335/O$198</f>
        <v/>
      </c>
      <c r="P317" s="47">
        <f>SUM(D317:O317)</f>
        <v/>
      </c>
      <c r="R317" s="2362" t="n"/>
      <c r="S317" s="2362" t="n"/>
    </row>
    <row customHeight="1" hidden="1" ht="14.25" outlineLevel="1" r="318" s="1843" spans="1:57">
      <c r="A318" s="2381" t="n"/>
      <c r="B318" s="123" t="n"/>
      <c r="C318" s="2382" t="s">
        <v>195</v>
      </c>
      <c r="D318" s="1380">
        <f>D181*D$335/D$198</f>
        <v/>
      </c>
      <c r="E318" s="1380">
        <f>E181*E$335/E$198</f>
        <v/>
      </c>
      <c r="F318" s="1380">
        <f>F181*F$335/F$198</f>
        <v/>
      </c>
      <c r="G318" s="1380">
        <f>G181*G$335/G$198</f>
        <v/>
      </c>
      <c r="H318" s="1380">
        <f>H181*H$335/H$198</f>
        <v/>
      </c>
      <c r="I318" s="1380">
        <f>I181*I$335/I$198</f>
        <v/>
      </c>
      <c r="J318" s="1380">
        <f>J181*J$335/J$198</f>
        <v/>
      </c>
      <c r="K318" s="1380">
        <f>K181*K$335/K$198</f>
        <v/>
      </c>
      <c r="L318" s="1380">
        <f>L181*L$335/L$198</f>
        <v/>
      </c>
      <c r="M318" s="1380">
        <f>M181*M$335/M$198</f>
        <v/>
      </c>
      <c r="N318" s="1380">
        <f>N181*N$335/N$198</f>
        <v/>
      </c>
      <c r="O318" s="1380">
        <f>O181*O$335/O$198</f>
        <v/>
      </c>
      <c r="P318" s="46">
        <f>SUM(D318:O318)</f>
        <v/>
      </c>
      <c r="R318" s="2362" t="n"/>
      <c r="S318" s="2362" t="n"/>
    </row>
    <row customHeight="1" hidden="1" ht="14.25" outlineLevel="1" r="319" s="1843" spans="1:57">
      <c r="A319" s="2381" t="n"/>
      <c r="B319" s="70" t="s">
        <v>214</v>
      </c>
      <c r="C319" s="2406" t="n"/>
      <c r="D319" s="73">
        <f>SUM(D312:D318)</f>
        <v/>
      </c>
      <c r="E319" s="73">
        <f>SUM(E312:E318)</f>
        <v/>
      </c>
      <c r="F319" s="73">
        <f>SUM(F312:F318)</f>
        <v/>
      </c>
      <c r="G319" s="73">
        <f>SUM(G312:G318)</f>
        <v/>
      </c>
      <c r="H319" s="73">
        <f>SUM(H312:H318)</f>
        <v/>
      </c>
      <c r="I319" s="73">
        <f>SUM(I312:I318)</f>
        <v/>
      </c>
      <c r="J319" s="73">
        <f>SUM(J312:J318)</f>
        <v/>
      </c>
      <c r="K319" s="73">
        <f>SUM(K312:K318)</f>
        <v/>
      </c>
      <c r="L319" s="73">
        <f>SUM(L312:L318)</f>
        <v/>
      </c>
      <c r="M319" s="73">
        <f>SUM(M312:M318)</f>
        <v/>
      </c>
      <c r="N319" s="73">
        <f>SUM(N312:N318)</f>
        <v/>
      </c>
      <c r="O319" s="73">
        <f>SUM(O312:O318)</f>
        <v/>
      </c>
      <c r="P319" s="76">
        <f>SUM(D319:O319)</f>
        <v/>
      </c>
      <c r="R319" s="2362" t="n"/>
      <c r="S319" s="2362" t="n"/>
    </row>
    <row customHeight="1" hidden="1" ht="14.25" outlineLevel="1" r="320" s="1843" spans="1:57">
      <c r="A320" s="2407" t="n"/>
      <c r="B320" s="123" t="n"/>
      <c r="C320" s="2385" t="s">
        <v>161</v>
      </c>
      <c r="D320" s="87">
        <f>D183*D$343/D$206</f>
        <v/>
      </c>
      <c r="E320" s="87">
        <f>E183*E$343/E$206</f>
        <v/>
      </c>
      <c r="F320" s="87">
        <f>F183*F$343/F$206</f>
        <v/>
      </c>
      <c r="G320" s="87">
        <f>G183*G$343/G$206</f>
        <v/>
      </c>
      <c r="H320" s="87">
        <f>H183*H$343/H$206</f>
        <v/>
      </c>
      <c r="I320" s="87">
        <f>I183*I$343/I$206</f>
        <v/>
      </c>
      <c r="J320" s="87">
        <f>J183*J$343/J$206</f>
        <v/>
      </c>
      <c r="K320" s="87">
        <f>K183*K$343/K$206</f>
        <v/>
      </c>
      <c r="L320" s="87">
        <f>L183*L$343/L$206</f>
        <v/>
      </c>
      <c r="M320" s="87">
        <f>M183*M$343/M$206</f>
        <v/>
      </c>
      <c r="N320" s="87">
        <f>N183*N$343/N$206</f>
        <v/>
      </c>
      <c r="O320" s="87">
        <f>O183*O$343/O$206</f>
        <v/>
      </c>
      <c r="P320" s="85">
        <f>SUM(D320:O320)</f>
        <v/>
      </c>
      <c r="Q320" s="2362" t="n"/>
      <c r="R320" s="2362" t="n"/>
      <c r="S320" s="2362" t="n"/>
      <c r="T320" s="2362" t="n"/>
      <c r="U320" s="2362" t="n"/>
      <c r="V320" s="2362" t="n"/>
      <c r="W320" s="2362" t="n"/>
      <c r="X320" s="2362" t="n"/>
      <c r="Y320" s="2362" t="n"/>
      <c r="Z320" s="2362" t="n"/>
      <c r="AA320" s="2362" t="n"/>
      <c r="AB320" s="2362" t="n"/>
      <c r="AC320" s="2362" t="n"/>
      <c r="AD320" s="2362" t="n"/>
      <c r="AE320" s="2362" t="n"/>
    </row>
    <row customHeight="1" hidden="1" ht="14.25" outlineLevel="1" r="321" s="1843" spans="1:57">
      <c r="A321" s="2407" t="n"/>
      <c r="B321" s="123" t="n"/>
      <c r="C321" s="2385" t="s">
        <v>215</v>
      </c>
      <c r="D321" s="87">
        <f>D184*D$335/D$198</f>
        <v/>
      </c>
      <c r="E321" s="87">
        <f>E184*E$335/E$198</f>
        <v/>
      </c>
      <c r="F321" s="87">
        <f>F184*F$335/F$198</f>
        <v/>
      </c>
      <c r="G321" s="87">
        <f>G184*G$335/G$198</f>
        <v/>
      </c>
      <c r="H321" s="87">
        <f>H184*H$335/H$198</f>
        <v/>
      </c>
      <c r="I321" s="87">
        <f>I184*I$335/I$198</f>
        <v/>
      </c>
      <c r="J321" s="87">
        <f>J184*J$335/J$198</f>
        <v/>
      </c>
      <c r="K321" s="87">
        <f>K184*K$335/K$198</f>
        <v/>
      </c>
      <c r="L321" s="87">
        <f>L184*L$335/L$198</f>
        <v/>
      </c>
      <c r="M321" s="87">
        <f>M184*M$335/M$198</f>
        <v/>
      </c>
      <c r="N321" s="87">
        <f>N184*N$335/N$198</f>
        <v/>
      </c>
      <c r="O321" s="87">
        <f>O184*O$335/O$198</f>
        <v/>
      </c>
      <c r="P321" s="85">
        <f>SUM(D321:O321)</f>
        <v/>
      </c>
      <c r="Q321" s="2362" t="n"/>
      <c r="R321" s="2362" t="n"/>
      <c r="S321" s="2362" t="n"/>
      <c r="T321" s="2362" t="n"/>
      <c r="U321" s="2362" t="n"/>
      <c r="V321" s="2362" t="n"/>
      <c r="W321" s="2362" t="n"/>
      <c r="X321" s="2362" t="n"/>
      <c r="Y321" s="2362" t="n"/>
      <c r="Z321" s="2362" t="n"/>
      <c r="AA321" s="2362" t="n"/>
      <c r="AB321" s="2362" t="n"/>
      <c r="AC321" s="2362" t="n"/>
      <c r="AD321" s="2362" t="n"/>
      <c r="AE321" s="2362" t="n"/>
    </row>
    <row customHeight="1" hidden="1" ht="14.25" outlineLevel="1" r="322" s="1843" spans="1:57">
      <c r="A322" s="2407" t="n"/>
      <c r="B322" s="1171" t="n"/>
      <c r="C322" s="2386" t="s">
        <v>197</v>
      </c>
      <c r="D322" s="87">
        <f>D185*D$341/D$204</f>
        <v/>
      </c>
      <c r="E322" s="87">
        <f>E185*E$341/E$204</f>
        <v/>
      </c>
      <c r="F322" s="87">
        <f>F185*F$341/F$204</f>
        <v/>
      </c>
      <c r="G322" s="87">
        <f>G185*G$341/G$204</f>
        <v/>
      </c>
      <c r="H322" s="87">
        <f>H185*H$341/H$204</f>
        <v/>
      </c>
      <c r="I322" s="87">
        <f>I185*I$341/I$204</f>
        <v/>
      </c>
      <c r="J322" s="87">
        <f>J185*J$341/J$204</f>
        <v/>
      </c>
      <c r="K322" s="87">
        <f>K185*K$341/K$204</f>
        <v/>
      </c>
      <c r="L322" s="87">
        <f>L185*L$341/L$204</f>
        <v/>
      </c>
      <c r="M322" s="87">
        <f>M185*M$341/M$204</f>
        <v/>
      </c>
      <c r="N322" s="87">
        <f>N185*N$341/N$204</f>
        <v/>
      </c>
      <c r="O322" s="87">
        <f>O185*O$341/O$204</f>
        <v/>
      </c>
      <c r="P322" s="85">
        <f>SUM(D322:O322)</f>
        <v/>
      </c>
      <c r="Q322" s="2362" t="n"/>
      <c r="R322" s="2362" t="n"/>
      <c r="S322" s="2362" t="n"/>
      <c r="T322" s="2362" t="n"/>
      <c r="U322" s="2362" t="n"/>
      <c r="V322" s="2362" t="n"/>
      <c r="W322" s="2362" t="n"/>
      <c r="X322" s="2362" t="n"/>
      <c r="Y322" s="2362" t="n"/>
      <c r="Z322" s="2362" t="n"/>
      <c r="AA322" s="2362" t="n"/>
      <c r="AB322" s="2362" t="n"/>
      <c r="AC322" s="2362" t="n"/>
      <c r="AD322" s="2362" t="n"/>
      <c r="AE322" s="2362" t="n"/>
    </row>
    <row customHeight="1" hidden="1" ht="14.25" outlineLevel="1" r="323" s="1843" spans="1:57">
      <c r="A323" s="2407" t="n"/>
      <c r="B323" s="123" t="n"/>
      <c r="C323" s="2386" t="s">
        <v>198</v>
      </c>
      <c r="D323" s="87">
        <f>D186*D$342/D$205</f>
        <v/>
      </c>
      <c r="E323" s="87">
        <f>E186*E$342/E$205</f>
        <v/>
      </c>
      <c r="F323" s="87">
        <f>F186*F$342/F$205</f>
        <v/>
      </c>
      <c r="G323" s="87">
        <f>G186*G$342/G$205</f>
        <v/>
      </c>
      <c r="H323" s="87">
        <f>H186*H$342/H$205</f>
        <v/>
      </c>
      <c r="I323" s="87">
        <f>I186*I$342/I$205</f>
        <v/>
      </c>
      <c r="J323" s="87">
        <f>J186*J$342/J$205</f>
        <v/>
      </c>
      <c r="K323" s="87">
        <f>K186*K$342/K$205</f>
        <v/>
      </c>
      <c r="L323" s="87">
        <f>L186*L$342/L$205</f>
        <v/>
      </c>
      <c r="M323" s="87">
        <f>M186*M$342/M$205</f>
        <v/>
      </c>
      <c r="N323" s="87">
        <f>N186*N$342/N$205</f>
        <v/>
      </c>
      <c r="O323" s="87">
        <f>O186*O$342/O$205</f>
        <v/>
      </c>
      <c r="P323" s="85">
        <f>SUM(D323:O323)</f>
        <v/>
      </c>
      <c r="Q323" s="2362" t="n"/>
      <c r="R323" s="2362" t="n"/>
      <c r="S323" s="2362" t="n"/>
      <c r="T323" s="2362" t="n"/>
      <c r="U323" s="2362" t="n"/>
      <c r="V323" s="2362" t="n"/>
      <c r="W323" s="2362" t="n"/>
      <c r="X323" s="2362" t="n"/>
      <c r="Y323" s="2362" t="n"/>
      <c r="Z323" s="2362" t="n"/>
      <c r="AA323" s="2362" t="n"/>
      <c r="AB323" s="2362" t="n"/>
      <c r="AC323" s="2362" t="n"/>
      <c r="AD323" s="2362" t="n"/>
      <c r="AE323" s="2362" t="n"/>
    </row>
    <row customFormat="1" customHeight="1" hidden="1" ht="14.25" outlineLevel="1" r="324" s="2437" spans="1:57">
      <c r="A324" s="2407" t="n"/>
      <c r="B324" s="123" t="n"/>
      <c r="C324" s="2385" t="s">
        <v>199</v>
      </c>
      <c r="D324" s="87">
        <f>D187*D$341/D$204</f>
        <v/>
      </c>
      <c r="E324" s="87">
        <f>E187*E$341/E$204</f>
        <v/>
      </c>
      <c r="F324" s="87">
        <f>F187*F$341/F$204</f>
        <v/>
      </c>
      <c r="G324" s="87">
        <f>G187*G$341/G$204</f>
        <v/>
      </c>
      <c r="H324" s="87">
        <f>H187*H$341/H$204</f>
        <v/>
      </c>
      <c r="I324" s="87">
        <f>I187*I$341/I$204</f>
        <v/>
      </c>
      <c r="J324" s="87">
        <f>J187*J$341/J$204</f>
        <v/>
      </c>
      <c r="K324" s="87">
        <f>K187*K$341/K$204</f>
        <v/>
      </c>
      <c r="L324" s="87">
        <f>L187*L$341/L$204</f>
        <v/>
      </c>
      <c r="M324" s="87">
        <f>M187*M$341/M$204</f>
        <v/>
      </c>
      <c r="N324" s="87">
        <f>N187*N$341/N$204</f>
        <v/>
      </c>
      <c r="O324" s="87">
        <f>O187*O$341/O$204</f>
        <v/>
      </c>
      <c r="P324" s="85">
        <f>SUM(D324:O324)</f>
        <v/>
      </c>
      <c r="Q324" s="2362" t="n"/>
      <c r="R324" s="2362" t="n"/>
      <c r="S324" s="2362" t="n"/>
      <c r="T324" s="2362" t="n"/>
      <c r="U324" s="2362" t="n"/>
      <c r="V324" s="2362" t="n"/>
      <c r="W324" s="2362" t="n"/>
      <c r="X324" s="2362" t="n"/>
      <c r="Y324" s="2362" t="n"/>
      <c r="Z324" s="2362" t="n"/>
      <c r="AA324" s="2362" t="n"/>
      <c r="AB324" s="2362" t="n"/>
      <c r="AC324" s="2362" t="n"/>
      <c r="AD324" s="2362" t="n"/>
      <c r="AE324" s="2362" t="n"/>
      <c r="AF324" s="2362" t="n"/>
      <c r="AG324" s="2362" t="n"/>
      <c r="AH324" s="2362" t="n"/>
      <c r="AI324" s="2362" t="n"/>
      <c r="AJ324" s="2362" t="n"/>
      <c r="AK324" s="2362" t="n"/>
      <c r="AL324" s="2362" t="n"/>
      <c r="AM324" s="2362" t="n"/>
      <c r="AN324" s="2362" t="n"/>
      <c r="AO324" s="2362" t="n"/>
      <c r="AP324" s="2362" t="n"/>
      <c r="AQ324" s="2362" t="n"/>
      <c r="AR324" s="2362" t="n"/>
      <c r="AS324" s="2362" t="n"/>
      <c r="AT324" s="2362" t="n"/>
      <c r="AU324" s="2362" t="n"/>
      <c r="AV324" s="2362" t="n"/>
      <c r="AW324" s="2362" t="n"/>
      <c r="AX324" s="2362" t="n"/>
      <c r="AY324" s="2362" t="n"/>
      <c r="AZ324" s="2362" t="n"/>
      <c r="BA324" s="2362" t="n"/>
      <c r="BB324" s="2362" t="n"/>
      <c r="BC324" s="2362" t="n"/>
      <c r="BD324" s="2362" t="n"/>
      <c r="BE324" s="2362" t="n"/>
    </row>
    <row customFormat="1" customHeight="1" hidden="1" ht="14.25" outlineLevel="1" r="325" s="2437" spans="1:57">
      <c r="A325" s="2407" t="n"/>
      <c r="B325" s="123" t="n"/>
      <c r="C325" s="2385" t="s">
        <v>200</v>
      </c>
      <c r="D325" s="87">
        <f>D188*D$342/D$205</f>
        <v/>
      </c>
      <c r="E325" s="87">
        <f>E188*E$342/E$205</f>
        <v/>
      </c>
      <c r="F325" s="87">
        <f>F188*F$342/F$205</f>
        <v/>
      </c>
      <c r="G325" s="87">
        <f>G188*G$342/G$205</f>
        <v/>
      </c>
      <c r="H325" s="87">
        <f>H188*H$342/H$205</f>
        <v/>
      </c>
      <c r="I325" s="87">
        <f>I188*I$342/I$205</f>
        <v/>
      </c>
      <c r="J325" s="87">
        <f>J188*J$342/J$205</f>
        <v/>
      </c>
      <c r="K325" s="87">
        <f>K188*K$342/K$205</f>
        <v/>
      </c>
      <c r="L325" s="87">
        <f>L188*L$342/L$205</f>
        <v/>
      </c>
      <c r="M325" s="87">
        <f>M188*M$342/M$205</f>
        <v/>
      </c>
      <c r="N325" s="87">
        <f>N188*N$342/N$205</f>
        <v/>
      </c>
      <c r="O325" s="87">
        <f>O188*O$342/O$205</f>
        <v/>
      </c>
      <c r="P325" s="85">
        <f>SUM(D325:O325)</f>
        <v/>
      </c>
      <c r="Q325" s="2362" t="n"/>
      <c r="R325" s="2362" t="n"/>
      <c r="S325" s="2362" t="n"/>
      <c r="T325" s="2362" t="n"/>
      <c r="U325" s="2362" t="n"/>
      <c r="V325" s="2362" t="n"/>
      <c r="W325" s="2362" t="n"/>
      <c r="X325" s="2362" t="n"/>
      <c r="Y325" s="2362" t="n"/>
      <c r="Z325" s="2362" t="n"/>
      <c r="AA325" s="2362" t="n"/>
      <c r="AB325" s="2362" t="n"/>
      <c r="AC325" s="2362" t="n"/>
      <c r="AD325" s="2362" t="n"/>
      <c r="AE325" s="2362" t="n"/>
      <c r="AF325" s="2362" t="n"/>
      <c r="AG325" s="2362" t="n"/>
      <c r="AH325" s="2362" t="n"/>
      <c r="AI325" s="2362" t="n"/>
      <c r="AJ325" s="2362" t="n"/>
      <c r="AK325" s="2362" t="n"/>
      <c r="AL325" s="2362" t="n"/>
      <c r="AM325" s="2362" t="n"/>
      <c r="AN325" s="2362" t="n"/>
      <c r="AO325" s="2362" t="n"/>
      <c r="AP325" s="2362" t="n"/>
      <c r="AQ325" s="2362" t="n"/>
      <c r="AR325" s="2362" t="n"/>
      <c r="AS325" s="2362" t="n"/>
      <c r="AT325" s="2362" t="n"/>
      <c r="AU325" s="2362" t="n"/>
      <c r="AV325" s="2362" t="n"/>
      <c r="AW325" s="2362" t="n"/>
      <c r="AX325" s="2362" t="n"/>
      <c r="AY325" s="2362" t="n"/>
      <c r="AZ325" s="2362" t="n"/>
      <c r="BA325" s="2362" t="n"/>
      <c r="BB325" s="2362" t="n"/>
      <c r="BC325" s="2362" t="n"/>
      <c r="BD325" s="2362" t="n"/>
      <c r="BE325" s="2362" t="n"/>
    </row>
    <row customFormat="1" customHeight="1" hidden="1" ht="14.25" outlineLevel="1" r="326" s="2369" spans="1:57">
      <c r="A326" s="2408" t="n"/>
      <c r="B326" s="71" t="n"/>
      <c r="C326" s="2385" t="s">
        <v>201</v>
      </c>
      <c r="D326" s="87">
        <f>D189*D$343/D$206</f>
        <v/>
      </c>
      <c r="E326" s="87">
        <f>E189*E$343/E$206</f>
        <v/>
      </c>
      <c r="F326" s="87">
        <f>F189*F$343/F$206</f>
        <v/>
      </c>
      <c r="G326" s="87">
        <f>G189*G$343/G$206</f>
        <v/>
      </c>
      <c r="H326" s="87">
        <f>H189*H$343/H$206</f>
        <v/>
      </c>
      <c r="I326" s="87">
        <f>I189*I$343/I$206</f>
        <v/>
      </c>
      <c r="J326" s="87">
        <f>J189*J$343/J$206</f>
        <v/>
      </c>
      <c r="K326" s="87">
        <f>K189*K$343/K$206</f>
        <v/>
      </c>
      <c r="L326" s="87">
        <f>L189*L$343/L$206</f>
        <v/>
      </c>
      <c r="M326" s="87">
        <f>M189*M$343/M$206</f>
        <v/>
      </c>
      <c r="N326" s="87">
        <f>N189*N$343/N$206</f>
        <v/>
      </c>
      <c r="O326" s="87">
        <f>O189*O$343/O$206</f>
        <v/>
      </c>
      <c r="P326" s="85">
        <f>SUM(D326:O326)</f>
        <v/>
      </c>
      <c r="Q326" s="2422" t="n"/>
      <c r="R326" s="2362" t="n"/>
      <c r="S326" s="2362" t="n"/>
      <c r="T326" s="2422" t="n"/>
      <c r="U326" s="2422" t="n"/>
      <c r="V326" s="2422" t="n"/>
      <c r="W326" s="2422" t="n"/>
      <c r="X326" s="2422" t="n"/>
      <c r="Y326" s="2422" t="n"/>
      <c r="Z326" s="2422" t="n"/>
      <c r="AA326" s="2422" t="n"/>
      <c r="AB326" s="2422" t="n"/>
      <c r="AC326" s="2422" t="n"/>
      <c r="AD326" s="2422" t="n"/>
      <c r="AE326" s="2422" t="n"/>
      <c r="AF326" s="2422" t="n"/>
      <c r="AG326" s="2422" t="n"/>
      <c r="AH326" s="2422" t="n"/>
      <c r="AI326" s="2422" t="n"/>
      <c r="AJ326" s="2422" t="n"/>
      <c r="AK326" s="2422" t="n"/>
      <c r="AL326" s="2422" t="n"/>
      <c r="AM326" s="2422" t="n"/>
      <c r="AN326" s="2422" t="n"/>
      <c r="AO326" s="2422" t="n"/>
      <c r="AP326" s="2422" t="n"/>
      <c r="AQ326" s="2422" t="n"/>
      <c r="AR326" s="2422" t="n"/>
      <c r="AS326" s="2422" t="n"/>
    </row>
    <row customHeight="1" hidden="1" ht="36" outlineLevel="1" r="327" s="1843" spans="1:57">
      <c r="A327" s="2408" t="n"/>
      <c r="B327" s="1171" t="n"/>
      <c r="C327" s="2387" t="s">
        <v>202</v>
      </c>
      <c r="D327" s="87">
        <f>D190*D$342/D$205</f>
        <v/>
      </c>
      <c r="E327" s="87">
        <f>E190*E$342/E$205</f>
        <v/>
      </c>
      <c r="F327" s="87">
        <f>F190*F$342/F$205</f>
        <v/>
      </c>
      <c r="G327" s="87">
        <f>G190*G$342/G$205</f>
        <v/>
      </c>
      <c r="H327" s="87">
        <f>H190*H$342/H$205</f>
        <v/>
      </c>
      <c r="I327" s="87">
        <f>I190*I$342/I$205</f>
        <v/>
      </c>
      <c r="J327" s="87">
        <f>J190*J$342/J$205</f>
        <v/>
      </c>
      <c r="K327" s="87">
        <f>K190*K$342/K$205</f>
        <v/>
      </c>
      <c r="L327" s="87">
        <f>L190*L$342/L$205</f>
        <v/>
      </c>
      <c r="M327" s="87">
        <f>M190*M$342/M$205</f>
        <v/>
      </c>
      <c r="N327" s="87">
        <f>N190*N$342/N$205</f>
        <v/>
      </c>
      <c r="O327" s="87">
        <f>O190*O$342/O$205</f>
        <v/>
      </c>
      <c r="P327" s="85">
        <f>SUM(D327:O327)</f>
        <v/>
      </c>
      <c r="Q327" s="2362" t="n"/>
      <c r="R327" s="2362" t="n"/>
      <c r="S327" s="2362" t="n"/>
      <c r="T327" s="2362" t="n"/>
      <c r="U327" s="2362" t="n"/>
      <c r="V327" s="2362" t="n"/>
      <c r="W327" s="2362" t="n"/>
      <c r="X327" s="2362" t="n"/>
      <c r="Y327" s="2362" t="n"/>
      <c r="Z327" s="2362" t="n"/>
      <c r="AA327" s="2362" t="n"/>
      <c r="AB327" s="2362" t="n"/>
      <c r="AC327" s="2362" t="n"/>
      <c r="AD327" s="2362" t="n"/>
      <c r="AE327" s="2362" t="n"/>
      <c r="AF327" s="2362" t="n"/>
      <c r="AG327" s="2362" t="n"/>
      <c r="AH327" s="2362" t="n"/>
      <c r="AI327" s="2362" t="n"/>
      <c r="AJ327" s="2362" t="n"/>
      <c r="AK327" s="2362" t="n"/>
      <c r="AL327" s="2362" t="n"/>
      <c r="AM327" s="2362" t="n"/>
      <c r="AN327" s="2362" t="n"/>
      <c r="AO327" s="2362" t="n"/>
      <c r="AP327" s="2362" t="n"/>
      <c r="AQ327" s="2362" t="n"/>
      <c r="AR327" s="2362" t="n"/>
      <c r="AS327" s="2362" t="n"/>
    </row>
    <row customHeight="1" hidden="1" ht="14.25" outlineLevel="1" r="328" s="1843" spans="1:57">
      <c r="A328" s="2407" t="n"/>
      <c r="B328" s="139" t="n"/>
      <c r="C328" s="2439" t="s">
        <v>216</v>
      </c>
      <c r="D328" s="1187">
        <f>D$191*SUM(D$335,D$340)/SUM(D$198,D$203)</f>
        <v/>
      </c>
      <c r="E328" s="1187">
        <f>E$191*SUM(E$335,E$340)/SUM(E$198,E$203)</f>
        <v/>
      </c>
      <c r="F328" s="1187">
        <f>F$191*SUM(F$335,F$340)/SUM(F$198,F$203)</f>
        <v/>
      </c>
      <c r="G328" s="1187">
        <f>G$191*SUM(G$335,G$340)/SUM(G$198,G$203)</f>
        <v/>
      </c>
      <c r="H328" s="1187">
        <f>H$191*SUM(H$335,H$340)/SUM(H$198,H$203)</f>
        <v/>
      </c>
      <c r="I328" s="1187">
        <f>I$191*SUM(I$335,I$340)/SUM(I$198,I$203)</f>
        <v/>
      </c>
      <c r="J328" s="1187">
        <f>J$191*SUM(J$335,J$340)/SUM(J$198,J$203)</f>
        <v/>
      </c>
      <c r="K328" s="1187">
        <f>K$191*SUM(K$335,K$340)/SUM(K$198,K$203)</f>
        <v/>
      </c>
      <c r="L328" s="1187">
        <f>L$191*SUM(L$335,L$340)/SUM(L$198,L$203)</f>
        <v/>
      </c>
      <c r="M328" s="1187">
        <f>M$191*SUM(M$335,M$340)/SUM(M$198,M$203)</f>
        <v/>
      </c>
      <c r="N328" s="1187">
        <f>N$191*SUM(N$335,N$340)/SUM(N$198,N$203)</f>
        <v/>
      </c>
      <c r="O328" s="1187">
        <f>O$191*SUM(O$335,O$340)/SUM(O$198,O$203)</f>
        <v/>
      </c>
      <c r="P328" s="1173">
        <f>SUM(D328:O328)</f>
        <v/>
      </c>
      <c r="Q328" s="2362" t="n"/>
      <c r="R328" s="2362" t="n"/>
      <c r="S328" s="2362" t="n"/>
      <c r="T328" s="2362" t="n"/>
      <c r="U328" s="2362" t="n"/>
      <c r="V328" s="2362" t="n"/>
      <c r="W328" s="2362" t="n"/>
      <c r="X328" s="2362" t="n"/>
      <c r="Y328" s="2362" t="n"/>
      <c r="Z328" s="2362" t="n"/>
      <c r="AA328" s="2362" t="n"/>
      <c r="AB328" s="2362" t="n"/>
      <c r="AC328" s="2362" t="n"/>
      <c r="AD328" s="2362" t="n"/>
      <c r="AE328" s="2362" t="n"/>
      <c r="AF328" s="2362" t="n"/>
      <c r="AG328" s="2362" t="n"/>
      <c r="AH328" s="2362" t="n"/>
      <c r="AI328" s="2362" t="n"/>
      <c r="AJ328" s="2362" t="n"/>
      <c r="AK328" s="2362" t="n"/>
      <c r="AL328" s="2362" t="n"/>
      <c r="AM328" s="2362" t="n"/>
      <c r="AN328" s="2362" t="n"/>
      <c r="AO328" s="2362" t="n"/>
      <c r="AP328" s="2362" t="n"/>
      <c r="AQ328" s="2362" t="n"/>
      <c r="AR328" s="2362" t="n"/>
      <c r="AS328" s="2362" t="n"/>
    </row>
    <row customHeight="1" hidden="1" ht="15" outlineLevel="1" r="329" s="1843" spans="1:57" thickBot="1">
      <c r="A329" s="2408" t="n"/>
      <c r="B329" s="70" t="s">
        <v>217</v>
      </c>
      <c r="C329" s="2406" t="n"/>
      <c r="D329" s="73">
        <f>SUM(D320:D328)</f>
        <v/>
      </c>
      <c r="E329" s="73">
        <f>SUM(E320:E328)</f>
        <v/>
      </c>
      <c r="F329" s="73">
        <f>SUM(F320:F328)</f>
        <v/>
      </c>
      <c r="G329" s="73">
        <f>SUM(G320:G328)</f>
        <v/>
      </c>
      <c r="H329" s="73">
        <f>SUM(H320:H328)</f>
        <v/>
      </c>
      <c r="I329" s="73">
        <f>SUM(I320:I328)</f>
        <v/>
      </c>
      <c r="J329" s="73">
        <f>SUM(J320:J328)</f>
        <v/>
      </c>
      <c r="K329" s="73">
        <f>SUM(K320:K328)</f>
        <v/>
      </c>
      <c r="L329" s="73">
        <f>SUM(L320:L328)</f>
        <v/>
      </c>
      <c r="M329" s="73">
        <f>SUM(M320:M328)</f>
        <v/>
      </c>
      <c r="N329" s="73">
        <f>SUM(N320:N328)</f>
        <v/>
      </c>
      <c r="O329" s="73">
        <f>SUM(O320:O328)</f>
        <v/>
      </c>
      <c r="P329" s="76">
        <f>SUM(D329:O329)</f>
        <v/>
      </c>
      <c r="R329" s="2422" t="n"/>
    </row>
    <row customFormat="1" customHeight="1" hidden="1" ht="15" outlineLevel="1" r="330" s="2362" spans="1:57" thickBot="1">
      <c r="A330" s="2362" t="n"/>
      <c r="B330" s="1324" t="n"/>
      <c r="C330" s="2449" t="s">
        <v>218</v>
      </c>
      <c r="D330" s="1323">
        <f>SUM(D319,D329)</f>
        <v/>
      </c>
      <c r="E330" s="1323">
        <f>SUM(E319,E329)</f>
        <v/>
      </c>
      <c r="F330" s="1323">
        <f>SUM(F319,F329)</f>
        <v/>
      </c>
      <c r="G330" s="1323">
        <f>SUM(G319,G329)</f>
        <v/>
      </c>
      <c r="H330" s="1323">
        <f>SUM(H319,H329)</f>
        <v/>
      </c>
      <c r="I330" s="1323">
        <f>SUM(I319,I329)</f>
        <v/>
      </c>
      <c r="J330" s="1323">
        <f>SUM(J319,J329)</f>
        <v/>
      </c>
      <c r="K330" s="1323">
        <f>SUM(K319,K329)</f>
        <v/>
      </c>
      <c r="L330" s="1323">
        <f>SUM(L319,L329)</f>
        <v/>
      </c>
      <c r="M330" s="1323">
        <f>SUM(M319,M329)</f>
        <v/>
      </c>
      <c r="N330" s="1323">
        <f>SUM(N319,N329)</f>
        <v/>
      </c>
      <c r="O330" s="1323">
        <f>SUM(O319,O329)</f>
        <v/>
      </c>
      <c r="P330" s="89">
        <f>SUM(P319,P329)</f>
        <v/>
      </c>
      <c r="R330" s="2362" t="n"/>
    </row>
    <row customHeight="1" hidden="1" ht="14.25" outlineLevel="1" r="331" s="1843" spans="1:57">
      <c r="A331" s="2392" t="s">
        <v>203</v>
      </c>
      <c r="B331" s="2395" t="n"/>
      <c r="C331" s="2413" t="s">
        <v>204</v>
      </c>
      <c r="D331" s="1218" t="n">
        <v>1</v>
      </c>
      <c r="E331" s="1218" t="n">
        <v>1</v>
      </c>
      <c r="F331" s="1218" t="n">
        <v>1</v>
      </c>
      <c r="G331" s="1218" t="n">
        <v>1</v>
      </c>
      <c r="H331" s="1218" t="n">
        <v>1</v>
      </c>
      <c r="I331" s="1218" t="n">
        <v>1</v>
      </c>
      <c r="J331" s="1218" t="n">
        <v>0</v>
      </c>
      <c r="K331" s="1218" t="n">
        <v>0</v>
      </c>
      <c r="L331" s="1218" t="n">
        <v>0</v>
      </c>
      <c r="M331" s="1218" t="n">
        <v>0</v>
      </c>
      <c r="N331" s="1218" t="n">
        <v>0</v>
      </c>
      <c r="O331" s="1218" t="n">
        <v>0</v>
      </c>
      <c r="P331" s="137" t="n"/>
      <c r="R331" s="2362" t="n"/>
    </row>
    <row customHeight="1" hidden="1" ht="14.25" outlineLevel="1" r="332" s="1843" spans="1:57">
      <c r="B332" s="2395" t="n"/>
      <c r="C332" s="2399" t="s">
        <v>14</v>
      </c>
      <c r="D332" s="1395" t="n">
        <v>0</v>
      </c>
      <c r="E332" s="1395" t="n">
        <v>0</v>
      </c>
      <c r="F332" s="1395" t="n">
        <v>0</v>
      </c>
      <c r="G332" s="1395" t="n">
        <v>0</v>
      </c>
      <c r="H332" s="1395" t="n">
        <v>0</v>
      </c>
      <c r="I332" s="1395" t="n">
        <v>0</v>
      </c>
      <c r="J332" s="1395" t="n">
        <v>0</v>
      </c>
      <c r="K332" s="1395" t="n">
        <v>0</v>
      </c>
      <c r="L332" s="1395" t="n">
        <v>0</v>
      </c>
      <c r="M332" s="1395" t="n">
        <v>0</v>
      </c>
      <c r="N332" s="1395" t="n">
        <v>0</v>
      </c>
      <c r="O332" s="1395" t="n">
        <v>0</v>
      </c>
      <c r="P332" s="137" t="n"/>
      <c r="R332" s="2362" t="n"/>
    </row>
    <row customHeight="1" hidden="1" ht="14.25" outlineLevel="1" r="333" s="1843" spans="1:57">
      <c r="B333" s="2395" t="n"/>
      <c r="C333" s="2399" t="s">
        <v>15</v>
      </c>
      <c r="D333" s="1395" t="n">
        <v>0</v>
      </c>
      <c r="E333" s="1395" t="n">
        <v>0</v>
      </c>
      <c r="F333" s="1395" t="n">
        <v>0</v>
      </c>
      <c r="G333" s="1395" t="n">
        <v>0</v>
      </c>
      <c r="H333" s="1395" t="n">
        <v>0</v>
      </c>
      <c r="I333" s="1395" t="n">
        <v>0</v>
      </c>
      <c r="J333" s="1395" t="n">
        <v>0</v>
      </c>
      <c r="K333" s="1395" t="n">
        <v>0</v>
      </c>
      <c r="L333" s="1395" t="n">
        <v>0</v>
      </c>
      <c r="M333" s="1395" t="n">
        <v>0</v>
      </c>
      <c r="N333" s="1395" t="n">
        <v>0</v>
      </c>
      <c r="O333" s="1395" t="n">
        <v>0</v>
      </c>
      <c r="P333" s="137" t="n"/>
      <c r="R333" s="2362" t="n"/>
    </row>
    <row customHeight="1" hidden="1" ht="14.25" outlineLevel="1" r="334" s="1843" spans="1:57">
      <c r="B334" s="2395" t="n"/>
      <c r="C334" s="2399" t="s">
        <v>16</v>
      </c>
      <c r="D334" s="1395" t="n">
        <v>0</v>
      </c>
      <c r="E334" s="1395" t="n">
        <v>0</v>
      </c>
      <c r="F334" s="1395" t="n">
        <v>0</v>
      </c>
      <c r="G334" s="1395" t="n">
        <v>0</v>
      </c>
      <c r="H334" s="1395" t="n">
        <v>0</v>
      </c>
      <c r="I334" s="1395" t="n">
        <v>0</v>
      </c>
      <c r="J334" s="1395" t="n">
        <v>0</v>
      </c>
      <c r="K334" s="1395" t="n">
        <v>0</v>
      </c>
      <c r="L334" s="1395" t="n">
        <v>0</v>
      </c>
      <c r="M334" s="1395" t="n">
        <v>0</v>
      </c>
      <c r="N334" s="1395" t="n">
        <v>0</v>
      </c>
      <c r="O334" s="1395" t="n">
        <v>0</v>
      </c>
      <c r="P334" s="137" t="n"/>
    </row>
    <row customFormat="1" customHeight="1" hidden="1" ht="14.25" outlineLevel="1" r="335" s="2362" spans="1:57">
      <c r="B335" s="2395" t="n"/>
      <c r="C335" s="2396" t="s">
        <v>80</v>
      </c>
      <c r="D335" s="192">
        <f>SUM(D331:D334)</f>
        <v/>
      </c>
      <c r="E335" s="192">
        <f>SUM(E331:E334)</f>
        <v/>
      </c>
      <c r="F335" s="192">
        <f>SUM(F331:F334)</f>
        <v/>
      </c>
      <c r="G335" s="192">
        <f>SUM(G331:G334)</f>
        <v/>
      </c>
      <c r="H335" s="192">
        <f>SUM(H331:H334)</f>
        <v/>
      </c>
      <c r="I335" s="192">
        <f>SUM(I331:I334)</f>
        <v/>
      </c>
      <c r="J335" s="192">
        <f>SUM(J331:J334)</f>
        <v/>
      </c>
      <c r="K335" s="192">
        <f>SUM(K331:K334)</f>
        <v/>
      </c>
      <c r="L335" s="192">
        <f>SUM(L331:L334)</f>
        <v/>
      </c>
      <c r="M335" s="192">
        <f>SUM(M331:M334)</f>
        <v/>
      </c>
      <c r="N335" s="192">
        <f>SUM(N331:N334)</f>
        <v/>
      </c>
      <c r="O335" s="1243">
        <f>SUM(O331:O334)</f>
        <v/>
      </c>
      <c r="P335" s="137" t="n"/>
    </row>
    <row customFormat="1" customHeight="1" hidden="1" ht="14.25" outlineLevel="1" r="336" s="2362" spans="1:57">
      <c r="B336" s="2395" t="n"/>
      <c r="C336" s="2396" t="s">
        <v>206</v>
      </c>
      <c r="D336" s="1234" t="n">
        <v>1</v>
      </c>
      <c r="E336" s="1234" t="n">
        <v>1</v>
      </c>
      <c r="F336" s="1234" t="n">
        <v>1</v>
      </c>
      <c r="G336" s="1234" t="n">
        <v>1</v>
      </c>
      <c r="H336" s="1234" t="n">
        <v>1</v>
      </c>
      <c r="I336" s="1234" t="n">
        <v>1</v>
      </c>
      <c r="J336" s="1234" t="n">
        <v>0</v>
      </c>
      <c r="K336" s="1234" t="n">
        <v>0</v>
      </c>
      <c r="L336" s="1234" t="n">
        <v>0</v>
      </c>
      <c r="M336" s="1234" t="n">
        <v>0</v>
      </c>
      <c r="N336" s="1234" t="n">
        <v>0</v>
      </c>
      <c r="O336" s="1234" t="n">
        <v>0</v>
      </c>
      <c r="P336" s="1240" t="n"/>
    </row>
    <row customFormat="1" customHeight="1" hidden="1" ht="14.25" outlineLevel="1" r="337" s="2362" spans="1:57">
      <c r="B337" s="2395" t="n"/>
      <c r="C337" s="2397" t="s">
        <v>207</v>
      </c>
      <c r="D337" s="1251">
        <f>D335-D336</f>
        <v/>
      </c>
      <c r="E337" s="1251">
        <f>E335-E336</f>
        <v/>
      </c>
      <c r="F337" s="1251">
        <f>F335-F336</f>
        <v/>
      </c>
      <c r="G337" s="1251">
        <f>G335-G336</f>
        <v/>
      </c>
      <c r="H337" s="1251">
        <f>H335-H336</f>
        <v/>
      </c>
      <c r="I337" s="1251">
        <f>I335-I336</f>
        <v/>
      </c>
      <c r="J337" s="1251">
        <f>J335-J336</f>
        <v/>
      </c>
      <c r="K337" s="1251">
        <f>K335-K336</f>
        <v/>
      </c>
      <c r="L337" s="1251">
        <f>L335-L336</f>
        <v/>
      </c>
      <c r="M337" s="1251">
        <f>M335-M336</f>
        <v/>
      </c>
      <c r="N337" s="1251">
        <f>N335-N336</f>
        <v/>
      </c>
      <c r="O337" s="1251">
        <f>O335-O336</f>
        <v/>
      </c>
      <c r="P337" s="1216" t="n"/>
    </row>
    <row customHeight="1" hidden="1" ht="14.25" outlineLevel="1" r="338" s="1843" spans="1:57">
      <c r="A338" s="2434" t="s">
        <v>157</v>
      </c>
      <c r="B338" s="2395" t="n"/>
      <c r="C338" s="2441" t="s">
        <v>208</v>
      </c>
      <c r="D338" s="1247" t="n"/>
      <c r="E338" s="1247" t="n"/>
      <c r="F338" s="1247" t="n"/>
      <c r="G338" s="1247" t="n"/>
      <c r="H338" s="1247" t="n"/>
      <c r="I338" s="1247" t="n"/>
      <c r="J338" s="1247" t="n"/>
      <c r="K338" s="1247" t="n"/>
      <c r="L338" s="1247" t="n"/>
      <c r="M338" s="1247" t="n"/>
      <c r="N338" s="1247" t="n"/>
      <c r="O338" s="1248" t="n"/>
      <c r="P338" s="1216" t="n"/>
      <c r="R338" s="2362" t="n"/>
    </row>
    <row customHeight="1" hidden="1" ht="14.25" outlineLevel="1" r="339" s="1843" spans="1:57">
      <c r="B339" s="2395" t="n"/>
      <c r="C339" s="2442" t="s">
        <v>209</v>
      </c>
      <c r="D339" s="1232">
        <f>SUMPRODUCT(('FY18 SET'!$B$4:$B67=$A$314)*('FY18 SET'!$F$4:$F67="实际OS")*('FY18 SET'!G$4:G$67))</f>
        <v/>
      </c>
      <c r="E339" s="1232">
        <f>SUMPRODUCT(('FY18 SET'!$B$4:$B67=$A$314)*('FY18 SET'!$F$4:$F67="实际OS")*('FY18 SET'!H$4:H$67))</f>
        <v/>
      </c>
      <c r="F339" s="1232">
        <f>SUMPRODUCT(('FY18 SET'!$B$4:$B67=$A$314)*('FY18 SET'!$F$4:$F67="实际OS")*('FY18 SET'!I$4:I$67))</f>
        <v/>
      </c>
      <c r="G339" s="1232">
        <f>SUMPRODUCT(('FY18 SET'!$B$4:$B67=$A$314)*('FY18 SET'!$F$4:$F67="实际OS")*('FY18 SET'!J$4:J$67))</f>
        <v/>
      </c>
      <c r="H339" s="1232">
        <f>SUMPRODUCT(('FY18 SET'!$B$4:$B67=$A$314)*('FY18 SET'!$F$4:$F67="实际OS")*('FY18 SET'!K$4:K$67))</f>
        <v/>
      </c>
      <c r="I339" s="1232">
        <f>SUMPRODUCT(('FY18 SET'!$B$4:$B67=$A$314)*('FY18 SET'!$F$4:$F67="实际OS")*('FY18 SET'!L$4:L$67))</f>
        <v/>
      </c>
      <c r="J339" s="1232">
        <f>SUMPRODUCT(('FY18 SET'!$B$4:$B67=$A$314)*('FY18 SET'!$F$4:$F67="实际OS")*('FY18 SET'!N$4:N$67))</f>
        <v/>
      </c>
      <c r="K339" s="1232">
        <f>SUMPRODUCT(('FY18 SET'!$B$4:$B67=$A$314)*('FY18 SET'!$F$4:$F67="实际OS")*('FY18 SET'!O$4:O$67))</f>
        <v/>
      </c>
      <c r="L339" s="1232">
        <f>SUMPRODUCT(('FY18 SET'!$B$4:$B67=$A$314)*('FY18 SET'!$F$4:$F67="实际OS")*('FY18 SET'!P$4:P$67))</f>
        <v/>
      </c>
      <c r="M339" s="1232">
        <f>SUMPRODUCT(('FY18 SET'!$B$4:$B67=$A$314)*('FY18 SET'!$F$4:$F67="实际OS")*('FY18 SET'!Q$4:Q$67))</f>
        <v/>
      </c>
      <c r="N339" s="1232">
        <f>SUMPRODUCT(('FY18 SET'!$B$4:$B67=$A$314)*('FY18 SET'!$F$4:$F67="实际OS")*('FY18 SET'!R$4:R$67))</f>
        <v/>
      </c>
      <c r="O339" s="1232">
        <f>SUMPRODUCT(('FY18 SET'!$B$4:$B67=$A$314)*('FY18 SET'!$F$4:$F67="实际OS")*('FY18 SET'!S$4:S$67))</f>
        <v/>
      </c>
      <c r="P339" s="1216" t="n"/>
      <c r="R339" s="2362" t="n"/>
    </row>
    <row customHeight="1" hidden="1" ht="14.25" outlineLevel="1" r="340" s="1843" spans="1:57">
      <c r="B340" s="2395" t="n"/>
      <c r="C340" s="2443" t="s">
        <v>211</v>
      </c>
      <c r="D340" s="1233">
        <f>SUM(D338:D339)</f>
        <v/>
      </c>
      <c r="E340" s="1233">
        <f>SUM(E338:E339)</f>
        <v/>
      </c>
      <c r="F340" s="1233">
        <f>SUM(F338:F339)</f>
        <v/>
      </c>
      <c r="G340" s="1233">
        <f>SUM(G338:G339)</f>
        <v/>
      </c>
      <c r="H340" s="1233">
        <f>SUM(H338:H339)</f>
        <v/>
      </c>
      <c r="I340" s="1233">
        <f>SUM(I338:I339)</f>
        <v/>
      </c>
      <c r="J340" s="1233">
        <f>SUM(J338:J339)</f>
        <v/>
      </c>
      <c r="K340" s="1233">
        <f>SUM(K338:K339)</f>
        <v/>
      </c>
      <c r="L340" s="1233">
        <f>SUM(L338:L339)</f>
        <v/>
      </c>
      <c r="M340" s="1233">
        <f>SUM(M338:M339)</f>
        <v/>
      </c>
      <c r="N340" s="1233">
        <f>SUM(N338:N339)</f>
        <v/>
      </c>
      <c r="O340" s="1250">
        <f>SUM(O338:O339)</f>
        <v/>
      </c>
      <c r="P340" s="1216" t="n"/>
    </row>
    <row customFormat="1" customHeight="1" hidden="1" ht="14.25" outlineLevel="1" r="341" s="2362" spans="1:57">
      <c r="A341" s="2416" t="s">
        <v>219</v>
      </c>
      <c r="B341" s="2417" t="n"/>
      <c r="C341" s="2444" t="s">
        <v>220</v>
      </c>
      <c r="D341" s="1278">
        <f>SUM(D336,D338)</f>
        <v/>
      </c>
      <c r="E341" s="1270">
        <f>SUM(E336,E338)</f>
        <v/>
      </c>
      <c r="F341" s="1270">
        <f>SUM(F336,F338)</f>
        <v/>
      </c>
      <c r="G341" s="1270">
        <f>SUM(G336,G338)</f>
        <v/>
      </c>
      <c r="H341" s="1270">
        <f>SUM(H336,H338)</f>
        <v/>
      </c>
      <c r="I341" s="1270">
        <f>SUM(I336,I338)</f>
        <v/>
      </c>
      <c r="J341" s="1270">
        <f>SUM(J336,J338)</f>
        <v/>
      </c>
      <c r="K341" s="1270">
        <f>SUM(K336,K338)</f>
        <v/>
      </c>
      <c r="L341" s="1270">
        <f>SUM(L336,L338)</f>
        <v/>
      </c>
      <c r="M341" s="1270">
        <f>SUM(M336,M338)</f>
        <v/>
      </c>
      <c r="N341" s="1270">
        <f>SUM(N336,N338)</f>
        <v/>
      </c>
      <c r="O341" s="1271">
        <f>SUM(O336,O338)</f>
        <v/>
      </c>
      <c r="P341" s="137" t="n"/>
    </row>
    <row customFormat="1" customHeight="1" hidden="1" ht="14.25" outlineLevel="1" r="342" s="2362" spans="1:57">
      <c r="B342" s="2419" t="n"/>
      <c r="C342" s="2446" t="s">
        <v>221</v>
      </c>
      <c r="D342" s="1279">
        <f>SUM(D337,D339)</f>
        <v/>
      </c>
      <c r="E342" s="140">
        <f>SUM(E337,E339)</f>
        <v/>
      </c>
      <c r="F342" s="140">
        <f>SUM(F337,F339)</f>
        <v/>
      </c>
      <c r="G342" s="140">
        <f>SUM(G337,G339)</f>
        <v/>
      </c>
      <c r="H342" s="140">
        <f>SUM(H337,H339)</f>
        <v/>
      </c>
      <c r="I342" s="140">
        <f>SUM(I337,I339)</f>
        <v/>
      </c>
      <c r="J342" s="140">
        <f>SUM(J337,J339)</f>
        <v/>
      </c>
      <c r="K342" s="140">
        <f>SUM(K337,K339)</f>
        <v/>
      </c>
      <c r="L342" s="140">
        <f>SUM(L337,L339)</f>
        <v/>
      </c>
      <c r="M342" s="140">
        <f>SUM(M337,M339)</f>
        <v/>
      </c>
      <c r="N342" s="140">
        <f>SUM(N337,N339)</f>
        <v/>
      </c>
      <c r="O342" s="1273">
        <f>SUM(O337,O339)</f>
        <v/>
      </c>
      <c r="P342" s="137" t="n"/>
    </row>
    <row customFormat="1" customHeight="1" hidden="1" ht="14.25" outlineLevel="1" r="343" s="2362" spans="1:57">
      <c r="B343" s="1274" t="n"/>
      <c r="C343" s="2447" t="s">
        <v>222</v>
      </c>
      <c r="D343" s="1280">
        <f>SUM(D341:D342)</f>
        <v/>
      </c>
      <c r="E343" s="1276">
        <f>SUM(E341:E342)</f>
        <v/>
      </c>
      <c r="F343" s="1276">
        <f>SUM(F341:F342)</f>
        <v/>
      </c>
      <c r="G343" s="1276">
        <f>SUM(G341:G342)</f>
        <v/>
      </c>
      <c r="H343" s="1276">
        <f>SUM(H341:H342)</f>
        <v/>
      </c>
      <c r="I343" s="1276">
        <f>SUM(I341:I342)</f>
        <v/>
      </c>
      <c r="J343" s="1276">
        <f>SUM(J341:J342)</f>
        <v/>
      </c>
      <c r="K343" s="1276">
        <f>SUM(K341:K342)</f>
        <v/>
      </c>
      <c r="L343" s="1276">
        <f>SUM(L341:L342)</f>
        <v/>
      </c>
      <c r="M343" s="1276">
        <f>SUM(M341:M342)</f>
        <v/>
      </c>
      <c r="N343" s="1276">
        <f>SUM(N341:N342)</f>
        <v/>
      </c>
      <c r="O343" s="1277">
        <f>SUM(O341:O342)</f>
        <v/>
      </c>
      <c r="P343" s="137" t="n"/>
    </row>
    <row customFormat="1" customHeight="1" hidden="1" ht="14.25" outlineLevel="1" r="344" s="2362" spans="1:57">
      <c r="A344" s="2362" t="n"/>
      <c r="B344" s="1324" t="n"/>
      <c r="C344" s="2451" t="n"/>
      <c r="D344" s="192" t="n"/>
      <c r="E344" s="192" t="n"/>
      <c r="F344" s="192" t="n"/>
      <c r="G344" s="192" t="n"/>
      <c r="H344" s="192" t="n"/>
      <c r="I344" s="192" t="n"/>
      <c r="J344" s="192" t="n"/>
      <c r="K344" s="192" t="n"/>
      <c r="L344" s="192" t="n"/>
      <c r="M344" s="192" t="n"/>
      <c r="N344" s="192" t="n"/>
      <c r="O344" s="192" t="n"/>
      <c r="P344" s="137" t="n"/>
    </row>
    <row collapsed="1" customFormat="1" customHeight="1" ht="14.25" r="345" s="2362" spans="1:57">
      <c r="A345" s="2362" t="n"/>
      <c r="B345" s="1324" t="n"/>
      <c r="C345" s="2451" t="n"/>
      <c r="D345" s="192" t="n"/>
      <c r="E345" s="192" t="n"/>
      <c r="F345" s="192" t="n"/>
      <c r="G345" s="192" t="n"/>
      <c r="H345" s="192" t="n"/>
      <c r="I345" s="192" t="n"/>
      <c r="J345" s="192" t="n"/>
      <c r="K345" s="192" t="n"/>
      <c r="L345" s="192" t="n"/>
      <c r="M345" s="192" t="n"/>
      <c r="N345" s="192" t="n"/>
      <c r="O345" s="192" t="n"/>
      <c r="P345" s="137" t="n"/>
    </row>
    <row customHeight="1" ht="15.75" r="346" s="1843" spans="1:57">
      <c r="A346" s="2370" t="n"/>
      <c r="B346" s="80" t="n"/>
      <c r="C346" s="2371" t="n"/>
      <c r="D346" s="2372" t="n">
        <v>43191</v>
      </c>
      <c r="E346" s="2372" t="n">
        <v>43221</v>
      </c>
      <c r="F346" s="2372" t="n">
        <v>43252</v>
      </c>
      <c r="G346" s="2372" t="n">
        <v>43282</v>
      </c>
      <c r="H346" s="2372" t="n">
        <v>43313</v>
      </c>
      <c r="I346" s="2372" t="n">
        <v>43344</v>
      </c>
      <c r="J346" s="2372" t="n">
        <v>43374</v>
      </c>
      <c r="K346" s="2372" t="n">
        <v>43405</v>
      </c>
      <c r="L346" s="2372" t="n">
        <v>43435</v>
      </c>
      <c r="M346" s="2372" t="n">
        <v>43466</v>
      </c>
      <c r="N346" s="2372" t="n">
        <v>43497</v>
      </c>
      <c r="O346" s="2372" t="n">
        <v>43525</v>
      </c>
      <c r="P346" s="2373" t="s">
        <v>55</v>
      </c>
      <c r="Q346" s="2362" t="n"/>
      <c r="R346" s="2374" t="s">
        <v>185</v>
      </c>
      <c r="S346" s="2362" t="n"/>
      <c r="T346" s="2362" t="n"/>
      <c r="U346" s="2362" t="n"/>
      <c r="V346" s="2362" t="n"/>
      <c r="W346" s="2362" t="n"/>
      <c r="X346" s="2362" t="n"/>
      <c r="Y346" s="2362" t="n"/>
      <c r="Z346" s="2362" t="n"/>
      <c r="AA346" s="2362" t="n"/>
      <c r="AB346" s="2362" t="n"/>
      <c r="AC346" s="2362" t="n"/>
      <c r="AD346" s="2362" t="n"/>
      <c r="AE346" s="2362" t="n"/>
    </row>
    <row customFormat="1" customHeight="1" ht="15.75" r="347" s="2369" spans="1:57">
      <c r="A347" s="2375" t="s">
        <v>229</v>
      </c>
      <c r="B347" s="64" t="n"/>
      <c r="C347" s="2376" t="s">
        <v>187</v>
      </c>
      <c r="D347" s="1381">
        <f>CFG!E148</f>
        <v/>
      </c>
      <c r="E347" s="1381">
        <f>CFG!F148</f>
        <v/>
      </c>
      <c r="F347" s="1381">
        <f>CFG!G148</f>
        <v/>
      </c>
      <c r="G347" s="1381">
        <f>CFG!H148</f>
        <v/>
      </c>
      <c r="H347" s="1381">
        <f>CFG!I148</f>
        <v/>
      </c>
      <c r="I347" s="1381">
        <f>CFG!J148</f>
        <v/>
      </c>
      <c r="J347" s="1381">
        <f>CFG!K148</f>
        <v/>
      </c>
      <c r="K347" s="1381">
        <f>CFG!L148</f>
        <v/>
      </c>
      <c r="L347" s="1381">
        <f>CFG!M148</f>
        <v/>
      </c>
      <c r="M347" s="1381">
        <f>CFG!N148</f>
        <v/>
      </c>
      <c r="N347" s="1381">
        <f>CFG!O148</f>
        <v/>
      </c>
      <c r="O347" s="1381">
        <f>CFG!P148</f>
        <v/>
      </c>
      <c r="P347" s="49">
        <f>SUM(D347:O347)</f>
        <v/>
      </c>
      <c r="Q347" s="2452" t="n"/>
      <c r="R347" s="2428">
        <f>SUM(P381,P416,P450)</f>
        <v/>
      </c>
      <c r="S347" s="2402">
        <f>R347-P347</f>
        <v/>
      </c>
      <c r="T347" s="2422" t="n"/>
      <c r="U347" s="2422" t="n"/>
      <c r="V347" s="2422" t="n"/>
      <c r="W347" s="2422" t="n"/>
      <c r="X347" s="2422" t="n"/>
      <c r="Y347" s="2422" t="n"/>
      <c r="Z347" s="2422" t="n"/>
      <c r="AA347" s="2422" t="n"/>
      <c r="AB347" s="2422" t="n"/>
      <c r="AC347" s="2422" t="n"/>
      <c r="AD347" s="2422" t="n"/>
      <c r="AE347" s="2422" t="n"/>
    </row>
    <row customHeight="1" ht="18" r="348" s="1843" spans="1:57">
      <c r="A348" s="2378" t="s">
        <v>230</v>
      </c>
      <c r="B348" s="66" t="n"/>
      <c r="C348" s="2379" t="s">
        <v>189</v>
      </c>
      <c r="D348" s="1380">
        <f>CFG!E149</f>
        <v/>
      </c>
      <c r="E348" s="1380">
        <f>CFG!F149</f>
        <v/>
      </c>
      <c r="F348" s="1380">
        <f>CFG!G149</f>
        <v/>
      </c>
      <c r="G348" s="1380">
        <f>CFG!H149</f>
        <v/>
      </c>
      <c r="H348" s="1380">
        <f>CFG!I149</f>
        <v/>
      </c>
      <c r="I348" s="1380">
        <f>CFG!J149</f>
        <v/>
      </c>
      <c r="J348" s="1380">
        <f>CFG!K149</f>
        <v/>
      </c>
      <c r="K348" s="1380">
        <f>CFG!L149</f>
        <v/>
      </c>
      <c r="L348" s="1380">
        <f>CFG!M149</f>
        <v/>
      </c>
      <c r="M348" s="1380">
        <f>CFG!N149</f>
        <v/>
      </c>
      <c r="N348" s="1380">
        <f>CFG!O149</f>
        <v/>
      </c>
      <c r="O348" s="1380">
        <f>CFG!P149</f>
        <v/>
      </c>
      <c r="P348" s="46">
        <f>SUM(D348:O348)</f>
        <v/>
      </c>
      <c r="Q348" s="2452" t="n"/>
      <c r="R348" s="2428">
        <f>SUM(P382,P417,P451)</f>
        <v/>
      </c>
      <c r="S348" s="2402">
        <f>R348-P348</f>
        <v/>
      </c>
      <c r="T348" s="2362" t="n"/>
      <c r="U348" s="2362" t="n"/>
      <c r="V348" s="2362" t="n"/>
      <c r="W348" s="2362" t="n"/>
      <c r="X348" s="2362" t="n"/>
      <c r="Y348" s="2362" t="n"/>
      <c r="Z348" s="2362" t="n"/>
      <c r="AA348" s="2362" t="n"/>
      <c r="AB348" s="2362" t="n"/>
      <c r="AC348" s="2362" t="n"/>
      <c r="AD348" s="2362" t="n"/>
      <c r="AE348" s="2362" t="n"/>
    </row>
    <row customHeight="1" ht="14.25" r="349" s="1843" spans="1:57">
      <c r="A349" s="2381" t="n"/>
      <c r="B349" s="66" t="n"/>
      <c r="C349" s="2379" t="s">
        <v>231</v>
      </c>
      <c r="D349" s="9">
        <f>CFG!E396</f>
        <v/>
      </c>
      <c r="E349" s="9">
        <f>CFG!F396</f>
        <v/>
      </c>
      <c r="F349" s="9">
        <f>CFG!G396</f>
        <v/>
      </c>
      <c r="G349" s="9">
        <f>CFG!H396</f>
        <v/>
      </c>
      <c r="H349" s="9">
        <f>CFG!I396</f>
        <v/>
      </c>
      <c r="I349" s="9">
        <f>CFG!J396</f>
        <v/>
      </c>
      <c r="J349" s="9">
        <f>CFG!K396</f>
        <v/>
      </c>
      <c r="K349" s="9">
        <f>CFG!L396</f>
        <v/>
      </c>
      <c r="L349" s="9">
        <f>CFG!M396</f>
        <v/>
      </c>
      <c r="M349" s="9">
        <f>CFG!N396</f>
        <v/>
      </c>
      <c r="N349" s="9">
        <f>CFG!O396</f>
        <v/>
      </c>
      <c r="O349" s="9">
        <f>CFG!P396</f>
        <v/>
      </c>
      <c r="P349" s="46">
        <f>SUM(D349:O349)</f>
        <v/>
      </c>
      <c r="Q349" s="2452" t="n"/>
      <c r="R349" s="2428">
        <f>SUM(P383,P418,P452)</f>
        <v/>
      </c>
      <c r="S349" s="2402">
        <f>R349-P349</f>
        <v/>
      </c>
      <c r="T349" s="2362" t="n"/>
      <c r="U349" s="2362" t="n"/>
      <c r="V349" s="2362" t="n"/>
      <c r="W349" s="2362" t="n"/>
      <c r="X349" s="2362" t="n"/>
      <c r="Y349" s="2362" t="n"/>
      <c r="Z349" s="2362" t="n"/>
      <c r="AA349" s="2362" t="n"/>
      <c r="AB349" s="2362" t="n"/>
      <c r="AC349" s="2362" t="n"/>
      <c r="AD349" s="2362" t="n"/>
      <c r="AE349" s="2362" t="n"/>
    </row>
    <row customHeight="1" ht="14.25" r="350" s="1843" spans="1:57">
      <c r="A350" s="2381" t="n"/>
      <c r="B350" s="66" t="n"/>
      <c r="C350" s="2379" t="s">
        <v>191</v>
      </c>
      <c r="D350" s="9">
        <f>CFG!E151</f>
        <v/>
      </c>
      <c r="E350" s="9">
        <f>CFG!F151</f>
        <v/>
      </c>
      <c r="F350" s="9">
        <f>CFG!G151</f>
        <v/>
      </c>
      <c r="G350" s="9">
        <f>CFG!H151</f>
        <v/>
      </c>
      <c r="H350" s="9">
        <f>CFG!I151</f>
        <v/>
      </c>
      <c r="I350" s="9">
        <f>CFG!J151</f>
        <v/>
      </c>
      <c r="J350" s="9">
        <f>CFG!K151</f>
        <v/>
      </c>
      <c r="K350" s="9">
        <f>CFG!L151</f>
        <v/>
      </c>
      <c r="L350" s="9">
        <f>CFG!M151</f>
        <v/>
      </c>
      <c r="M350" s="9">
        <f>CFG!N151</f>
        <v/>
      </c>
      <c r="N350" s="9">
        <f>CFG!O151</f>
        <v/>
      </c>
      <c r="O350" s="9">
        <f>CFG!P151</f>
        <v/>
      </c>
      <c r="P350" s="46">
        <f>SUM(D350:O350)</f>
        <v/>
      </c>
      <c r="Q350" s="2452" t="n"/>
      <c r="R350" s="2428">
        <f>SUM(P384,P419,P453)</f>
        <v/>
      </c>
      <c r="S350" s="2402">
        <f>R350-P350</f>
        <v/>
      </c>
      <c r="T350" s="2362" t="n"/>
      <c r="U350" s="2362" t="n"/>
      <c r="V350" s="2362" t="n"/>
      <c r="W350" s="2362" t="n"/>
      <c r="X350" s="2362" t="n"/>
      <c r="Y350" s="2362" t="n"/>
      <c r="Z350" s="2362" t="n"/>
      <c r="AA350" s="2362" t="n"/>
      <c r="AB350" s="2362" t="n"/>
      <c r="AC350" s="2362" t="n"/>
      <c r="AD350" s="2362" t="n"/>
      <c r="AE350" s="2362" t="n"/>
    </row>
    <row customHeight="1" ht="14.25" r="351" s="1843" spans="1:57">
      <c r="A351" s="2381" t="n"/>
      <c r="B351" s="66" t="n"/>
      <c r="C351" s="2379" t="s">
        <v>192</v>
      </c>
      <c r="D351" s="9">
        <f>CFG!E152</f>
        <v/>
      </c>
      <c r="E351" s="9">
        <f>CFG!F152</f>
        <v/>
      </c>
      <c r="F351" s="9">
        <f>CFG!G152</f>
        <v/>
      </c>
      <c r="G351" s="9">
        <f>CFG!H152</f>
        <v/>
      </c>
      <c r="H351" s="9">
        <f>CFG!I152</f>
        <v/>
      </c>
      <c r="I351" s="9">
        <f>CFG!J152</f>
        <v/>
      </c>
      <c r="J351" s="9">
        <f>CFG!K152</f>
        <v/>
      </c>
      <c r="K351" s="9">
        <f>CFG!L152</f>
        <v/>
      </c>
      <c r="L351" s="9">
        <f>CFG!M152</f>
        <v/>
      </c>
      <c r="M351" s="9">
        <f>CFG!N152</f>
        <v/>
      </c>
      <c r="N351" s="9">
        <f>CFG!O152</f>
        <v/>
      </c>
      <c r="O351" s="9">
        <f>CFG!P152</f>
        <v/>
      </c>
      <c r="P351" s="46">
        <f>SUM(D351:O351)</f>
        <v/>
      </c>
      <c r="Q351" s="2452" t="n"/>
      <c r="R351" s="2428">
        <f>SUM(P385,P420,P454)</f>
        <v/>
      </c>
      <c r="S351" s="2402">
        <f>R351-P351</f>
        <v/>
      </c>
      <c r="T351" s="2362" t="n"/>
      <c r="U351" s="2362" t="n"/>
      <c r="V351" s="2362" t="n"/>
      <c r="W351" s="2362" t="n"/>
      <c r="X351" s="2362" t="n"/>
      <c r="Y351" s="2362" t="n"/>
      <c r="Z351" s="2362" t="n"/>
      <c r="AA351" s="2362" t="n"/>
      <c r="AB351" s="2362" t="n"/>
      <c r="AC351" s="2362" t="n"/>
      <c r="AD351" s="2362" t="n"/>
      <c r="AE351" s="2362" t="n"/>
    </row>
    <row customHeight="1" ht="14.25" r="352" s="1843" spans="1:57">
      <c r="A352" s="2381" t="n"/>
      <c r="B352" s="66" t="n"/>
      <c r="C352" s="2379" t="s">
        <v>213</v>
      </c>
      <c r="D352" s="9" t="n"/>
      <c r="E352" s="9">
        <f>CFG!F154-'OS&amp;Travel Exp'!D57</f>
        <v/>
      </c>
      <c r="F352" s="9">
        <f>CFG!G154-'OS&amp;Travel Exp'!E57</f>
        <v/>
      </c>
      <c r="G352" s="9">
        <f>CFG!H154-'OS&amp;Travel Exp'!F57</f>
        <v/>
      </c>
      <c r="H352" s="9">
        <f>CFG!I154-'OS&amp;Travel Exp'!G57</f>
        <v/>
      </c>
      <c r="I352" s="9">
        <f>CFG!J154-'OS&amp;Travel Exp'!H57</f>
        <v/>
      </c>
      <c r="J352" s="9">
        <f>CFG!K154-'OS&amp;Travel Exp'!I57</f>
        <v/>
      </c>
      <c r="K352" s="9">
        <f>CFG!L154-'OS&amp;Travel Exp'!J57</f>
        <v/>
      </c>
      <c r="L352" s="9">
        <f>CFG!M154-'OS&amp;Travel Exp'!K57</f>
        <v/>
      </c>
      <c r="M352" s="9">
        <f>CFG!N154-'OS&amp;Travel Exp'!L57</f>
        <v/>
      </c>
      <c r="N352" s="9">
        <f>CFG!O154-'OS&amp;Travel Exp'!M57</f>
        <v/>
      </c>
      <c r="O352" s="9">
        <f>CFG!P154-'OS&amp;Travel Exp'!N57</f>
        <v/>
      </c>
      <c r="P352" s="47">
        <f>SUM(D352:O352)</f>
        <v/>
      </c>
      <c r="Q352" s="2452" t="n"/>
      <c r="R352" s="2428">
        <f>SUM(P386,P421,P455)</f>
        <v/>
      </c>
      <c r="S352" s="2402">
        <f>R352-P352</f>
        <v/>
      </c>
      <c r="T352" s="2362" t="n"/>
      <c r="U352" s="2362" t="n"/>
      <c r="V352" s="2362" t="n"/>
      <c r="W352" s="2362" t="n"/>
      <c r="X352" s="2362" t="n"/>
      <c r="Y352" s="2362" t="n"/>
      <c r="Z352" s="2362" t="n"/>
      <c r="AA352" s="2362" t="n"/>
      <c r="AB352" s="2362" t="n"/>
      <c r="AC352" s="2362" t="n"/>
      <c r="AD352" s="2362" t="n"/>
      <c r="AE352" s="2362" t="n"/>
    </row>
    <row customHeight="1" ht="14.25" r="353" s="1843" spans="1:57">
      <c r="A353" s="2381" t="n"/>
      <c r="B353" s="69" t="n"/>
      <c r="C353" s="2383" t="s">
        <v>195</v>
      </c>
      <c r="D353" s="96">
        <f>SUM(CFG!E157:E158)</f>
        <v/>
      </c>
      <c r="E353" s="96">
        <f>SUM(CFG!F157:F158)</f>
        <v/>
      </c>
      <c r="F353" s="96">
        <f>SUM(CFG!G157:G158)</f>
        <v/>
      </c>
      <c r="G353" s="96">
        <f>SUM(CFG!H157:H158)</f>
        <v/>
      </c>
      <c r="H353" s="96">
        <f>SUM(CFG!I157:I158)</f>
        <v/>
      </c>
      <c r="I353" s="96">
        <f>SUM(CFG!J157:J158)</f>
        <v/>
      </c>
      <c r="J353" s="96">
        <f>SUM(CFG!K157:K158)</f>
        <v/>
      </c>
      <c r="K353" s="96">
        <f>SUM(CFG!L157:L158)</f>
        <v/>
      </c>
      <c r="L353" s="96">
        <f>SUM(CFG!M157:M158)</f>
        <v/>
      </c>
      <c r="M353" s="96">
        <f>SUM(CFG!N157:N158)</f>
        <v/>
      </c>
      <c r="N353" s="96">
        <f>SUM(CFG!O157:O158)</f>
        <v/>
      </c>
      <c r="O353" s="96">
        <f>SUM(CFG!P157:P158)</f>
        <v/>
      </c>
      <c r="P353" s="95">
        <f>SUM(D353:O353)</f>
        <v/>
      </c>
      <c r="Q353" s="2452" t="n"/>
      <c r="R353" s="2428">
        <f>SUM(P387,P422,P456)</f>
        <v/>
      </c>
      <c r="S353" s="2402">
        <f>R353-P353</f>
        <v/>
      </c>
      <c r="T353" s="2362" t="n"/>
      <c r="U353" s="2362" t="n"/>
      <c r="V353" s="2362" t="n"/>
      <c r="W353" s="2362" t="n"/>
      <c r="X353" s="2362" t="n"/>
      <c r="Y353" s="2362" t="n"/>
      <c r="Z353" s="2362" t="n"/>
      <c r="AA353" s="2362" t="n"/>
      <c r="AB353" s="2362" t="n"/>
      <c r="AC353" s="2362" t="n"/>
      <c r="AD353" s="2362" t="n"/>
      <c r="AE353" s="2362" t="n"/>
    </row>
    <row customHeight="1" ht="14.25" r="354" s="1843" spans="1:57">
      <c r="A354" s="2408" t="n"/>
      <c r="B354" s="70" t="s">
        <v>214</v>
      </c>
      <c r="C354" s="2406" t="n"/>
      <c r="D354" s="73">
        <f>SUM(D347:D353)</f>
        <v/>
      </c>
      <c r="E354" s="73">
        <f>SUM(E347:E353)</f>
        <v/>
      </c>
      <c r="F354" s="73">
        <f>SUM(F347:F353)</f>
        <v/>
      </c>
      <c r="G354" s="73">
        <f>SUM(G347:G353)</f>
        <v/>
      </c>
      <c r="H354" s="73">
        <f>SUM(H347:H353)</f>
        <v/>
      </c>
      <c r="I354" s="73">
        <f>SUM(I347:I353)</f>
        <v/>
      </c>
      <c r="J354" s="73">
        <f>SUM(J347:J353)</f>
        <v/>
      </c>
      <c r="K354" s="73">
        <f>SUM(K347:K353)</f>
        <v/>
      </c>
      <c r="L354" s="73">
        <f>SUM(L347:L353)</f>
        <v/>
      </c>
      <c r="M354" s="73">
        <f>SUM(M347:M353)</f>
        <v/>
      </c>
      <c r="N354" s="73">
        <f>SUM(N347:N353)</f>
        <v/>
      </c>
      <c r="O354" s="73">
        <f>SUM(O347:O353)</f>
        <v/>
      </c>
      <c r="P354" s="76">
        <f>SUM(D354:O354)</f>
        <v/>
      </c>
      <c r="Q354" s="2377" t="n"/>
      <c r="R354" s="2362" t="n"/>
      <c r="S354" s="2362" t="n"/>
      <c r="T354" s="2362" t="n"/>
      <c r="U354" s="2362" t="n"/>
      <c r="V354" s="2362" t="n"/>
      <c r="W354" s="2362" t="n"/>
      <c r="X354" s="2362" t="n"/>
      <c r="Y354" s="2362" t="n"/>
      <c r="Z354" s="2362" t="n"/>
      <c r="AA354" s="2362" t="n"/>
      <c r="AB354" s="2362" t="n"/>
      <c r="AC354" s="2362" t="n"/>
      <c r="AD354" s="2362" t="n"/>
      <c r="AE354" s="2362" t="n"/>
    </row>
    <row customHeight="1" ht="14.25" r="355" s="1843" spans="1:57">
      <c r="A355" s="2407" t="n"/>
      <c r="B355" s="139" t="n"/>
      <c r="C355" s="2386" t="s">
        <v>161</v>
      </c>
      <c r="D355" s="962">
        <f>CFG!E163</f>
        <v/>
      </c>
      <c r="E355" s="962">
        <f>CFG!F163</f>
        <v/>
      </c>
      <c r="F355" s="962">
        <f>CFG!G163</f>
        <v/>
      </c>
      <c r="G355" s="962">
        <f>CFG!H163</f>
        <v/>
      </c>
      <c r="H355" s="962">
        <f>CFG!I163</f>
        <v/>
      </c>
      <c r="I355" s="962">
        <f>CFG!J163</f>
        <v/>
      </c>
      <c r="J355" s="962">
        <f>CFG!K163</f>
        <v/>
      </c>
      <c r="K355" s="962">
        <f>CFG!L163</f>
        <v/>
      </c>
      <c r="L355" s="962">
        <f>CFG!M163</f>
        <v/>
      </c>
      <c r="M355" s="962">
        <f>CFG!N163</f>
        <v/>
      </c>
      <c r="N355" s="962">
        <f>CFG!O163</f>
        <v/>
      </c>
      <c r="O355" s="962">
        <f>CFG!P163</f>
        <v/>
      </c>
      <c r="P355" s="85">
        <f>SUM(D355:O355)</f>
        <v/>
      </c>
      <c r="Q355" s="2377" t="n"/>
      <c r="R355" s="2428">
        <f>SUM(P389,P424,P458)</f>
        <v/>
      </c>
      <c r="S355" s="2402">
        <f>R355-P355</f>
        <v/>
      </c>
      <c r="T355" s="2362" t="n"/>
      <c r="U355" s="2362" t="n"/>
      <c r="V355" s="2362" t="n"/>
      <c r="W355" s="2362" t="n"/>
      <c r="X355" s="2362" t="n"/>
      <c r="Y355" s="2362" t="n"/>
      <c r="Z355" s="2362" t="n"/>
      <c r="AA355" s="2362" t="n"/>
      <c r="AB355" s="2362" t="n"/>
      <c r="AC355" s="2362" t="n"/>
      <c r="AD355" s="2362" t="n"/>
      <c r="AE355" s="2362" t="n"/>
    </row>
    <row customHeight="1" ht="14.25" r="356" s="1843" spans="1:57">
      <c r="A356" s="2408" t="n"/>
      <c r="B356" s="71" t="n"/>
      <c r="C356" s="2385" t="s">
        <v>215</v>
      </c>
      <c r="D356" s="87">
        <f>CFG!E164</f>
        <v/>
      </c>
      <c r="E356" s="87">
        <f>CFG!F164</f>
        <v/>
      </c>
      <c r="F356" s="87">
        <f>CFG!G164</f>
        <v/>
      </c>
      <c r="G356" s="87">
        <f>CFG!H164</f>
        <v/>
      </c>
      <c r="H356" s="87">
        <f>CFG!I164</f>
        <v/>
      </c>
      <c r="I356" s="87">
        <f>CFG!J164</f>
        <v/>
      </c>
      <c r="J356" s="87">
        <f>CFG!K164</f>
        <v/>
      </c>
      <c r="K356" s="87">
        <f>CFG!L164</f>
        <v/>
      </c>
      <c r="L356" s="87">
        <f>CFG!M164</f>
        <v/>
      </c>
      <c r="M356" s="87">
        <f>CFG!N164</f>
        <v/>
      </c>
      <c r="N356" s="87">
        <f>CFG!O164</f>
        <v/>
      </c>
      <c r="O356" s="87">
        <f>CFG!P164</f>
        <v/>
      </c>
      <c r="P356" s="85">
        <f>SUM(D356:O356)</f>
        <v/>
      </c>
      <c r="Q356" s="2377" t="n"/>
      <c r="R356" s="2428">
        <f>SUM(P390,P425,P459)</f>
        <v/>
      </c>
      <c r="S356" s="2402">
        <f>R356-P356</f>
        <v/>
      </c>
      <c r="T356" s="2362" t="n"/>
      <c r="U356" s="2362" t="n"/>
      <c r="V356" s="2362" t="n"/>
      <c r="W356" s="2362" t="n"/>
      <c r="X356" s="2362" t="n"/>
      <c r="Y356" s="2362" t="n"/>
      <c r="Z356" s="2362" t="n"/>
      <c r="AA356" s="2362" t="n"/>
      <c r="AB356" s="2362" t="n"/>
      <c r="AC356" s="2362" t="n"/>
      <c r="AD356" s="2362" t="n"/>
      <c r="AE356" s="2362" t="n"/>
    </row>
    <row customHeight="1" ht="14.25" r="357" s="1843" spans="1:57">
      <c r="A357" s="2407" t="n"/>
      <c r="B357" s="123" t="n"/>
      <c r="C357" s="2385" t="s">
        <v>232</v>
      </c>
      <c r="D357" s="87">
        <f>CFG!E375</f>
        <v/>
      </c>
      <c r="E357" s="87">
        <f>CFG!F375</f>
        <v/>
      </c>
      <c r="F357" s="87">
        <f>CFG!G375</f>
        <v/>
      </c>
      <c r="G357" s="87">
        <f>CFG!H375</f>
        <v/>
      </c>
      <c r="H357" s="87">
        <f>CFG!I375</f>
        <v/>
      </c>
      <c r="I357" s="87">
        <f>CFG!J375</f>
        <v/>
      </c>
      <c r="J357" s="87">
        <f>CFG!K375</f>
        <v/>
      </c>
      <c r="K357" s="87">
        <f>CFG!L375</f>
        <v/>
      </c>
      <c r="L357" s="87">
        <f>CFG!M375</f>
        <v/>
      </c>
      <c r="M357" s="87">
        <f>CFG!N375</f>
        <v/>
      </c>
      <c r="N357" s="87">
        <f>CFG!O375</f>
        <v/>
      </c>
      <c r="O357" s="87">
        <f>CFG!P375</f>
        <v/>
      </c>
      <c r="P357" s="85">
        <f>SUM(D357:O357)</f>
        <v/>
      </c>
      <c r="Q357" s="2377" t="n"/>
      <c r="R357" s="2428">
        <f>SUM(P391,P426,P460)</f>
        <v/>
      </c>
      <c r="S357" s="2402">
        <f>R357-P357</f>
        <v/>
      </c>
      <c r="T357" s="2362" t="n"/>
      <c r="U357" s="2362" t="n"/>
      <c r="V357" s="2362" t="n"/>
      <c r="W357" s="2362" t="n"/>
      <c r="X357" s="2362" t="n"/>
      <c r="Y357" s="2362" t="n"/>
      <c r="Z357" s="2362" t="n"/>
      <c r="AA357" s="2362" t="n"/>
      <c r="AB357" s="2362" t="n"/>
      <c r="AC357" s="2362" t="n"/>
      <c r="AD357" s="2362" t="n"/>
      <c r="AE357" s="2362" t="n"/>
    </row>
    <row customHeight="1" ht="14.25" r="358" s="1843" spans="1:57">
      <c r="A358" s="2407" t="n"/>
      <c r="B358" s="123" t="n"/>
      <c r="C358" s="2385" t="s">
        <v>233</v>
      </c>
      <c r="D358" s="746">
        <f>CFG!E479</f>
        <v/>
      </c>
      <c r="E358" s="746">
        <f>CFG!F479</f>
        <v/>
      </c>
      <c r="F358" s="746">
        <f>CFG!G479</f>
        <v/>
      </c>
      <c r="G358" s="746">
        <f>CFG!H479</f>
        <v/>
      </c>
      <c r="H358" s="746">
        <f>CFG!I479</f>
        <v/>
      </c>
      <c r="I358" s="746">
        <f>CFG!J479</f>
        <v/>
      </c>
      <c r="J358" s="746">
        <f>CFG!K479</f>
        <v/>
      </c>
      <c r="K358" s="746">
        <f>CFG!L479</f>
        <v/>
      </c>
      <c r="L358" s="746">
        <f>CFG!M479</f>
        <v/>
      </c>
      <c r="M358" s="746">
        <f>CFG!N479</f>
        <v/>
      </c>
      <c r="N358" s="746">
        <f>CFG!O479</f>
        <v/>
      </c>
      <c r="O358" s="746">
        <f>CFG!P479</f>
        <v/>
      </c>
      <c r="P358" s="85">
        <f>SUM(D358:O358)</f>
        <v/>
      </c>
      <c r="Q358" s="2377" t="n"/>
      <c r="R358" s="2428">
        <f>SUM(P392,P427,P461)</f>
        <v/>
      </c>
      <c r="S358" s="2402">
        <f>R358-P358</f>
        <v/>
      </c>
      <c r="T358" s="2362" t="n"/>
      <c r="U358" s="2362" t="n"/>
      <c r="V358" s="2362" t="n"/>
      <c r="W358" s="2362" t="n"/>
      <c r="X358" s="2362" t="n"/>
      <c r="Y358" s="2362" t="n"/>
      <c r="Z358" s="2362" t="n"/>
      <c r="AA358" s="2362" t="n"/>
      <c r="AB358" s="2362" t="n"/>
      <c r="AC358" s="2362" t="n"/>
      <c r="AD358" s="2362" t="n"/>
      <c r="AE358" s="2362" t="n"/>
    </row>
    <row customHeight="1" ht="14.25" r="359" s="1843" spans="1:57">
      <c r="A359" s="2407" t="n"/>
      <c r="B359" s="123" t="n"/>
      <c r="C359" s="2385" t="s">
        <v>199</v>
      </c>
      <c r="D359" s="87">
        <f>CFG!E461</f>
        <v/>
      </c>
      <c r="E359" s="87">
        <f>CFG!F461</f>
        <v/>
      </c>
      <c r="F359" s="87">
        <f>CFG!G461</f>
        <v/>
      </c>
      <c r="G359" s="87">
        <f>CFG!H461</f>
        <v/>
      </c>
      <c r="H359" s="87">
        <f>CFG!I461</f>
        <v/>
      </c>
      <c r="I359" s="87">
        <f>CFG!J461</f>
        <v/>
      </c>
      <c r="J359" s="87">
        <f>CFG!K461</f>
        <v/>
      </c>
      <c r="K359" s="87">
        <f>CFG!L461</f>
        <v/>
      </c>
      <c r="L359" s="87">
        <f>CFG!M461</f>
        <v/>
      </c>
      <c r="M359" s="87">
        <f>CFG!N461</f>
        <v/>
      </c>
      <c r="N359" s="87">
        <f>CFG!O461</f>
        <v/>
      </c>
      <c r="O359" s="87">
        <f>CFG!P461</f>
        <v/>
      </c>
      <c r="P359" s="85">
        <f>SUM(D359:O359)</f>
        <v/>
      </c>
      <c r="Q359" s="2377" t="n"/>
      <c r="R359" s="2428">
        <f>SUM(P393,P428,P462)</f>
        <v/>
      </c>
      <c r="S359" s="2402">
        <f>R359-P359</f>
        <v/>
      </c>
      <c r="T359" s="2362" t="n"/>
      <c r="U359" s="2362" t="n"/>
      <c r="V359" s="2362" t="n"/>
      <c r="W359" s="2362" t="n"/>
      <c r="X359" s="2362" t="n"/>
      <c r="Y359" s="2362" t="n"/>
      <c r="Z359" s="2362" t="n"/>
      <c r="AA359" s="2362" t="n"/>
      <c r="AB359" s="2362" t="n"/>
      <c r="AC359" s="2362" t="n"/>
      <c r="AD359" s="2362" t="n"/>
      <c r="AE359" s="2362" t="n"/>
    </row>
    <row customHeight="1" ht="14.25" r="360" s="1843" spans="1:57">
      <c r="A360" s="2407" t="n"/>
      <c r="B360" s="123" t="n"/>
      <c r="C360" s="2385" t="s">
        <v>200</v>
      </c>
      <c r="D360" s="962">
        <f>CFG!E401</f>
        <v/>
      </c>
      <c r="E360" s="962">
        <f>CFG!F401</f>
        <v/>
      </c>
      <c r="F360" s="962">
        <f>CFG!G401</f>
        <v/>
      </c>
      <c r="G360" s="962">
        <f>CFG!H401</f>
        <v/>
      </c>
      <c r="H360" s="962">
        <f>CFG!I401</f>
        <v/>
      </c>
      <c r="I360" s="962">
        <f>CFG!J401</f>
        <v/>
      </c>
      <c r="J360" s="962">
        <f>CFG!K401</f>
        <v/>
      </c>
      <c r="K360" s="962">
        <f>CFG!L401</f>
        <v/>
      </c>
      <c r="L360" s="962">
        <f>CFG!M401</f>
        <v/>
      </c>
      <c r="M360" s="962">
        <f>CFG!N401</f>
        <v/>
      </c>
      <c r="N360" s="962">
        <f>CFG!O401</f>
        <v/>
      </c>
      <c r="O360" s="962">
        <f>CFG!P401</f>
        <v/>
      </c>
      <c r="P360" s="85">
        <f>SUM(D360:O360)</f>
        <v/>
      </c>
      <c r="Q360" s="2377" t="n"/>
      <c r="R360" s="2428">
        <f>SUM(P394,P429,P463)</f>
        <v/>
      </c>
      <c r="S360" s="2402">
        <f>R360-P360</f>
        <v/>
      </c>
      <c r="T360" s="2362" t="n"/>
      <c r="U360" s="2362" t="n"/>
      <c r="V360" s="2362" t="n"/>
      <c r="W360" s="2362" t="n"/>
      <c r="X360" s="2362" t="n"/>
      <c r="Y360" s="2362" t="n"/>
      <c r="Z360" s="2362" t="n"/>
      <c r="AA360" s="2362" t="n"/>
      <c r="AB360" s="2362" t="n"/>
      <c r="AC360" s="2362" t="n"/>
      <c r="AD360" s="2362" t="n"/>
      <c r="AE360" s="2362" t="n"/>
    </row>
    <row customHeight="1" ht="14.25" r="361" s="1843" spans="1:57">
      <c r="A361" s="2408" t="n"/>
      <c r="B361" s="123" t="n"/>
      <c r="C361" s="2385" t="s">
        <v>201</v>
      </c>
      <c r="D361" s="87">
        <f>-CFG!E171</f>
        <v/>
      </c>
      <c r="E361" s="87">
        <f>-CFG!F171</f>
        <v/>
      </c>
      <c r="F361" s="87">
        <f>-CFG!G171</f>
        <v/>
      </c>
      <c r="G361" s="87">
        <f>-CFG!H171</f>
        <v/>
      </c>
      <c r="H361" s="87">
        <f>-CFG!I171</f>
        <v/>
      </c>
      <c r="I361" s="87">
        <f>-CFG!J171</f>
        <v/>
      </c>
      <c r="J361" s="87">
        <f>-CFG!K171</f>
        <v/>
      </c>
      <c r="K361" s="87">
        <f>-CFG!L171</f>
        <v/>
      </c>
      <c r="L361" s="87">
        <f>-CFG!M171</f>
        <v/>
      </c>
      <c r="M361" s="87">
        <f>-CFG!N171</f>
        <v/>
      </c>
      <c r="N361" s="87">
        <f>-CFG!O171</f>
        <v/>
      </c>
      <c r="O361" s="87">
        <f>-CFG!P171</f>
        <v/>
      </c>
      <c r="P361" s="85">
        <f>SUM(D361:O361)</f>
        <v/>
      </c>
      <c r="Q361" s="2377" t="n"/>
      <c r="R361" s="2428">
        <f>SUM(P395,P430,P464)</f>
        <v/>
      </c>
      <c r="S361" s="2402">
        <f>R361-P361</f>
        <v/>
      </c>
      <c r="T361" s="2362" t="n"/>
      <c r="U361" s="2362" t="n"/>
      <c r="V361" s="2362" t="n"/>
      <c r="W361" s="2362" t="n"/>
      <c r="X361" s="2362" t="n"/>
      <c r="Y361" s="2362" t="n"/>
      <c r="Z361" s="2362" t="n"/>
      <c r="AA361" s="2362" t="n"/>
      <c r="AB361" s="2362" t="n"/>
      <c r="AC361" s="2362" t="n"/>
      <c r="AD361" s="2362" t="n"/>
      <c r="AE361" s="2362" t="n"/>
    </row>
    <row customHeight="1" ht="36" r="362" s="1843" spans="1:57">
      <c r="A362" s="2408" t="n"/>
      <c r="B362" s="64" t="n"/>
      <c r="C362" s="2387" t="s">
        <v>202</v>
      </c>
      <c r="D362" s="91">
        <f>-CFG!E172</f>
        <v/>
      </c>
      <c r="E362" s="91">
        <f>-CFG!F172</f>
        <v/>
      </c>
      <c r="F362" s="91">
        <f>-CFG!G172</f>
        <v/>
      </c>
      <c r="G362" s="91">
        <f>-CFG!H172</f>
        <v/>
      </c>
      <c r="H362" s="91">
        <f>-CFG!I172</f>
        <v/>
      </c>
      <c r="I362" s="91">
        <f>-CFG!J172</f>
        <v/>
      </c>
      <c r="J362" s="91">
        <f>-CFG!K172</f>
        <v/>
      </c>
      <c r="K362" s="91">
        <f>-CFG!L172</f>
        <v/>
      </c>
      <c r="L362" s="91">
        <f>-CFG!M172</f>
        <v/>
      </c>
      <c r="M362" s="91">
        <f>-CFG!N172</f>
        <v/>
      </c>
      <c r="N362" s="91">
        <f>-CFG!O172</f>
        <v/>
      </c>
      <c r="O362" s="91">
        <f>-CFG!P172</f>
        <v/>
      </c>
      <c r="P362" s="93">
        <f>SUM(D362:O362)</f>
        <v/>
      </c>
      <c r="Q362" s="2377" t="n"/>
      <c r="R362" s="2428">
        <f>SUM(P396,P431,P465)</f>
        <v/>
      </c>
      <c r="S362" s="2402">
        <f>R362-P362</f>
        <v/>
      </c>
      <c r="T362" s="2362" t="n"/>
      <c r="U362" s="2362" t="n"/>
      <c r="V362" s="2362" t="n"/>
      <c r="W362" s="2362" t="n"/>
      <c r="X362" s="2362" t="n"/>
      <c r="Y362" s="2362" t="n"/>
      <c r="Z362" s="2362" t="n"/>
      <c r="AA362" s="2362" t="n"/>
      <c r="AB362" s="2362" t="n"/>
      <c r="AC362" s="2362" t="n"/>
      <c r="AD362" s="2362" t="n"/>
      <c r="AE362" s="2362" t="n"/>
    </row>
    <row customFormat="1" customHeight="1" ht="14.25" r="363" s="2362" spans="1:57">
      <c r="A363" s="2407" t="n"/>
      <c r="B363" s="139" t="n"/>
      <c r="C363" s="2453" t="s">
        <v>216</v>
      </c>
      <c r="D363" s="128">
        <f>D$19*SUM(D$369,D$374)/SUM(D$24,D$27:D$28)</f>
        <v/>
      </c>
      <c r="E363" s="128">
        <f>E$19*SUM(E$369,E$374)/SUM(E$24,E$27:E$28)</f>
        <v/>
      </c>
      <c r="F363" s="128">
        <f>F$19*SUM(F$369,F$374)/SUM(F$24,F$27:F$28)</f>
        <v/>
      </c>
      <c r="G363" s="128">
        <f>G$19*SUM(G$369,G$374)/SUM(G$24,G$27:G$28)</f>
        <v/>
      </c>
      <c r="H363" s="128">
        <f>H$19*SUM(H$369,H$374)/SUM(H$24,H$27:H$28)</f>
        <v/>
      </c>
      <c r="I363" s="128">
        <f>I$19*SUM(I$369,I$374)/SUM(I$24,I$27:I$28)</f>
        <v/>
      </c>
      <c r="J363" s="128">
        <f>J$19*SUM(J$369,J$374)/SUM(J$24,J$27:J$28)</f>
        <v/>
      </c>
      <c r="K363" s="128">
        <f>K$19*SUM(K$369,K$374)/SUM(K$24,K$27:K$28)</f>
        <v/>
      </c>
      <c r="L363" s="128">
        <f>L$19*SUM(L$369,L$374)/SUM(L$24,L$27:L$28)</f>
        <v/>
      </c>
      <c r="M363" s="128">
        <f>M$19*SUM(M$369,M$374)/SUM(M$24,M$27:M$28)</f>
        <v/>
      </c>
      <c r="N363" s="128">
        <f>N$19*SUM(N$369,N$374)/SUM(N$24,N$27:N$28)</f>
        <v/>
      </c>
      <c r="O363" s="128">
        <f>O$19*SUM(O$369,O$374)/SUM(O$24,O$27:O$28)</f>
        <v/>
      </c>
      <c r="P363" s="128">
        <f>SUM(D363:O363)</f>
        <v/>
      </c>
      <c r="Q363" s="2377" t="n"/>
    </row>
    <row customFormat="1" customHeight="1" ht="14.25" r="364" s="2362" spans="1:57">
      <c r="A364" s="2408" t="n"/>
      <c r="B364" s="70" t="s">
        <v>217</v>
      </c>
      <c r="C364" s="2406" t="n"/>
      <c r="D364" s="73">
        <f>SUM(D355:D363)</f>
        <v/>
      </c>
      <c r="E364" s="73">
        <f>SUM(E355:E363)</f>
        <v/>
      </c>
      <c r="F364" s="73">
        <f>SUM(F355:F363)</f>
        <v/>
      </c>
      <c r="G364" s="73">
        <f>SUM(G355:G363)</f>
        <v/>
      </c>
      <c r="H364" s="73">
        <f>SUM(H355:H363)</f>
        <v/>
      </c>
      <c r="I364" s="73">
        <f>SUM(I355:I363)</f>
        <v/>
      </c>
      <c r="J364" s="73">
        <f>SUM(J355:J363)</f>
        <v/>
      </c>
      <c r="K364" s="73">
        <f>SUM(K355:K363)</f>
        <v/>
      </c>
      <c r="L364" s="73">
        <f>SUM(L355:L363)</f>
        <v/>
      </c>
      <c r="M364" s="73">
        <f>SUM(M355:M363)</f>
        <v/>
      </c>
      <c r="N364" s="73">
        <f>SUM(N355:N363)</f>
        <v/>
      </c>
      <c r="O364" s="73">
        <f>SUM(O355:O363)</f>
        <v/>
      </c>
      <c r="P364" s="76">
        <f>SUM(D364:O364)</f>
        <v/>
      </c>
      <c r="Q364" s="2377" t="n"/>
      <c r="R364" s="2377">
        <f>SUM(CFG!Q148:Q152,CFG!Q154:Q158,CFG!Q162:Q164)-SUM(CFG!Q171:Q172)</f>
        <v/>
      </c>
      <c r="S364" s="2377">
        <f>SUM(P354,P364)-P359-R364</f>
        <v/>
      </c>
    </row>
    <row customFormat="1" customHeight="1" ht="14.25" r="365" s="2362" spans="1:57">
      <c r="A365" s="2392" t="s">
        <v>203</v>
      </c>
      <c r="B365" s="2393" t="n"/>
      <c r="C365" s="2413" t="s">
        <v>204</v>
      </c>
      <c r="D365" s="1395">
        <f>SUM(D400,D435,D469)</f>
        <v/>
      </c>
      <c r="E365" s="1395">
        <f>SUM(E400,E435,E469)</f>
        <v/>
      </c>
      <c r="F365" s="1395">
        <f>SUM(F400,F435,F469)</f>
        <v/>
      </c>
      <c r="G365" s="1395">
        <f>SUM(G400,G435,G469)</f>
        <v/>
      </c>
      <c r="H365" s="1395">
        <f>SUM(H400,H435,H469)</f>
        <v/>
      </c>
      <c r="I365" s="1395">
        <f>SUM(I400,I435,I469)</f>
        <v/>
      </c>
      <c r="J365" s="1395">
        <f>SUM(J400,J435,J469)</f>
        <v/>
      </c>
      <c r="K365" s="1395">
        <f>SUM(K400,K435,K469)</f>
        <v/>
      </c>
      <c r="L365" s="1395">
        <f>SUM(L400,L435,L469)</f>
        <v/>
      </c>
      <c r="M365" s="1395">
        <f>SUM(M400,M435,M469)</f>
        <v/>
      </c>
      <c r="N365" s="1395">
        <f>SUM(N400,N435,N469)</f>
        <v/>
      </c>
      <c r="O365" s="1395">
        <f>SUM(O400,O435,O469)</f>
        <v/>
      </c>
      <c r="P365" s="1219">
        <f>SUM(D365:O365)</f>
        <v/>
      </c>
    </row>
    <row customFormat="1" customHeight="1" ht="14.25" r="366" s="2362" spans="1:57">
      <c r="B366" s="2395" t="n"/>
      <c r="C366" s="2399" t="s">
        <v>14</v>
      </c>
      <c r="D366" s="1395">
        <f>SUM(D401,D436,D470)</f>
        <v/>
      </c>
      <c r="E366" s="1395">
        <f>SUM(E401,E436,E470)</f>
        <v/>
      </c>
      <c r="F366" s="1395">
        <f>SUM(F401,F436,F470)</f>
        <v/>
      </c>
      <c r="G366" s="1395">
        <f>SUM(G401,G436,G470)</f>
        <v/>
      </c>
      <c r="H366" s="1395">
        <f>SUM(H401,H436,H470)</f>
        <v/>
      </c>
      <c r="I366" s="1395">
        <f>SUM(I401,I436,I470)</f>
        <v/>
      </c>
      <c r="J366" s="1395">
        <f>SUM(J401,J436,J470)</f>
        <v/>
      </c>
      <c r="K366" s="1395">
        <f>SUM(K401,K436,K470)</f>
        <v/>
      </c>
      <c r="L366" s="1395">
        <f>SUM(L401,L436,L470)</f>
        <v/>
      </c>
      <c r="M366" s="1395">
        <f>SUM(M401,M436,M470)</f>
        <v/>
      </c>
      <c r="N366" s="1395">
        <f>SUM(N401,N436,N470)</f>
        <v/>
      </c>
      <c r="O366" s="1395">
        <f>SUM(O401,O436,O470)</f>
        <v/>
      </c>
      <c r="P366" s="1221">
        <f>SUM(D366:O366)</f>
        <v/>
      </c>
    </row>
    <row customFormat="1" customHeight="1" ht="14.25" r="367" s="2362" spans="1:57">
      <c r="B367" s="2395" t="n"/>
      <c r="C367" s="2399" t="s">
        <v>15</v>
      </c>
      <c r="D367" s="1395">
        <f>SUM(D402,D437,D471)</f>
        <v/>
      </c>
      <c r="E367" s="1395">
        <f>SUM(E402,E437,E471)</f>
        <v/>
      </c>
      <c r="F367" s="1395">
        <f>SUM(F402,F437,F471)</f>
        <v/>
      </c>
      <c r="G367" s="1395">
        <f>SUM(G402,G437,G471)</f>
        <v/>
      </c>
      <c r="H367" s="1395">
        <f>SUM(H402,H437,H471)</f>
        <v/>
      </c>
      <c r="I367" s="1395">
        <f>SUM(I402,I437,I471)</f>
        <v/>
      </c>
      <c r="J367" s="1395">
        <f>SUM(J402,J437,J471)</f>
        <v/>
      </c>
      <c r="K367" s="1395">
        <f>SUM(K402,K437,K471)</f>
        <v/>
      </c>
      <c r="L367" s="1395">
        <f>SUM(L402,L437,L471)</f>
        <v/>
      </c>
      <c r="M367" s="1395">
        <f>SUM(M402,M437,M471)</f>
        <v/>
      </c>
      <c r="N367" s="1395">
        <f>SUM(N402,N437,N471)</f>
        <v/>
      </c>
      <c r="O367" s="1395">
        <f>SUM(O402,O437,O471)</f>
        <v/>
      </c>
      <c r="P367" s="1221">
        <f>SUM(D367:O367)</f>
        <v/>
      </c>
    </row>
    <row customFormat="1" customHeight="1" ht="14.25" r="368" s="2362" spans="1:57">
      <c r="B368" s="2395" t="n"/>
      <c r="C368" s="2399" t="s">
        <v>16</v>
      </c>
      <c r="D368" s="1395">
        <f>SUM(D403,D438,D472)</f>
        <v/>
      </c>
      <c r="E368" s="1395">
        <f>SUM(E403,E438,E472)</f>
        <v/>
      </c>
      <c r="F368" s="1395">
        <f>SUM(F403,F438,F472)</f>
        <v/>
      </c>
      <c r="G368" s="1395">
        <f>SUM(G403,G438,G472)</f>
        <v/>
      </c>
      <c r="H368" s="1395">
        <f>SUM(H403,H438,H472)</f>
        <v/>
      </c>
      <c r="I368" s="1395">
        <f>SUM(I403,I438,I472)</f>
        <v/>
      </c>
      <c r="J368" s="1395">
        <f>SUM(J403,J438,J472)</f>
        <v/>
      </c>
      <c r="K368" s="1395">
        <f>SUM(K403,K438,K472)</f>
        <v/>
      </c>
      <c r="L368" s="1395">
        <f>SUM(L403,L438,L472)</f>
        <v/>
      </c>
      <c r="M368" s="1395">
        <f>SUM(M403,M438,M472)</f>
        <v/>
      </c>
      <c r="N368" s="1395">
        <f>SUM(N403,N438,N472)</f>
        <v/>
      </c>
      <c r="O368" s="1395">
        <f>SUM(O403,O438,O472)</f>
        <v/>
      </c>
      <c r="P368" s="1221">
        <f>SUM(D368:O368)</f>
        <v/>
      </c>
    </row>
    <row customFormat="1" customHeight="1" ht="14.25" r="369" s="2362" spans="1:57">
      <c r="B369" s="2395" t="n"/>
      <c r="C369" s="2399" t="s">
        <v>205</v>
      </c>
      <c r="D369" s="192">
        <f>SUM(D365:D368)</f>
        <v/>
      </c>
      <c r="E369" s="192">
        <f>SUM(E365:E368)</f>
        <v/>
      </c>
      <c r="F369" s="192">
        <f>SUM(F365:F368)</f>
        <v/>
      </c>
      <c r="G369" s="192">
        <f>SUM(G365:G368)</f>
        <v/>
      </c>
      <c r="H369" s="192">
        <f>SUM(H365:H368)</f>
        <v/>
      </c>
      <c r="I369" s="192">
        <f>SUM(I365:I368)</f>
        <v/>
      </c>
      <c r="J369" s="192">
        <f>SUM(J365:J368)</f>
        <v/>
      </c>
      <c r="K369" s="192">
        <f>SUM(K365:K368)</f>
        <v/>
      </c>
      <c r="L369" s="192">
        <f>SUM(L365:L368)</f>
        <v/>
      </c>
      <c r="M369" s="192">
        <f>SUM(M365:M368)</f>
        <v/>
      </c>
      <c r="N369" s="192">
        <f>SUM(N365:N368)</f>
        <v/>
      </c>
      <c r="O369" s="192">
        <f>SUM(O365:O368)</f>
        <v/>
      </c>
      <c r="P369" s="1221">
        <f>SUM(P365:P368)</f>
        <v/>
      </c>
    </row>
    <row customHeight="1" ht="14.25" r="370" s="1843" spans="1:57">
      <c r="B370" s="2395" t="n"/>
      <c r="C370" s="2399" t="s">
        <v>206</v>
      </c>
      <c r="D370" s="1232" t="n">
        <v>1</v>
      </c>
      <c r="E370" s="1232" t="n">
        <v>1</v>
      </c>
      <c r="F370" s="1232" t="n">
        <v>1</v>
      </c>
      <c r="G370" s="1232" t="n">
        <v>1</v>
      </c>
      <c r="H370" s="1232" t="n">
        <v>1</v>
      </c>
      <c r="I370" s="1232" t="n">
        <v>1</v>
      </c>
      <c r="J370" s="1232" t="n">
        <v>1</v>
      </c>
      <c r="K370" s="1232" t="n">
        <v>1</v>
      </c>
      <c r="L370" s="1232" t="n">
        <v>1</v>
      </c>
      <c r="M370" s="1232" t="n">
        <v>1</v>
      </c>
      <c r="N370" s="1232" t="n">
        <v>1</v>
      </c>
      <c r="O370" s="1232" t="n">
        <v>1</v>
      </c>
      <c r="P370" s="1221">
        <f>SUM(D370:O370)</f>
        <v/>
      </c>
      <c r="R370" s="2362" t="n"/>
    </row>
    <row customHeight="1" ht="14.25" r="371" s="1843" spans="1:57">
      <c r="B371" s="2398" t="n"/>
      <c r="C371" s="2400" t="s">
        <v>207</v>
      </c>
      <c r="D371" s="1233">
        <f>D369-D370</f>
        <v/>
      </c>
      <c r="E371" s="1233">
        <f>E369-E370</f>
        <v/>
      </c>
      <c r="F371" s="1233">
        <f>F369-F370</f>
        <v/>
      </c>
      <c r="G371" s="1233">
        <f>G369-G370</f>
        <v/>
      </c>
      <c r="H371" s="1233">
        <f>H369-H370</f>
        <v/>
      </c>
      <c r="I371" s="1233">
        <f>I369-I370</f>
        <v/>
      </c>
      <c r="J371" s="1233">
        <f>J369-J370</f>
        <v/>
      </c>
      <c r="K371" s="1233">
        <f>K369-K370</f>
        <v/>
      </c>
      <c r="L371" s="1233">
        <f>L369-L370</f>
        <v/>
      </c>
      <c r="M371" s="1233">
        <f>M369-M370</f>
        <v/>
      </c>
      <c r="N371" s="1233">
        <f>N369-N370</f>
        <v/>
      </c>
      <c r="O371" s="1233">
        <f>O369-O370</f>
        <v/>
      </c>
      <c r="P371" s="1221">
        <f>SUM(P367:P370)</f>
        <v/>
      </c>
      <c r="R371" s="2362" t="n"/>
    </row>
    <row customHeight="1" ht="14.25" r="372" s="1843" spans="1:57">
      <c r="A372" s="2434" t="s">
        <v>157</v>
      </c>
      <c r="B372" s="2395" t="n"/>
      <c r="C372" s="2399" t="s">
        <v>208</v>
      </c>
      <c r="D372" s="1395">
        <f>SUM(D407,D442,D476)</f>
        <v/>
      </c>
      <c r="E372" s="1395">
        <f>SUM(E407,E442,E476)</f>
        <v/>
      </c>
      <c r="F372" s="1395">
        <f>SUM(F407,F442,F476)</f>
        <v/>
      </c>
      <c r="G372" s="1395">
        <f>SUM(G407,G442,G476)</f>
        <v/>
      </c>
      <c r="H372" s="1395">
        <f>SUM(H407,H442,H476)</f>
        <v/>
      </c>
      <c r="I372" s="1395">
        <f>SUM(I407,I442,I476)</f>
        <v/>
      </c>
      <c r="J372" s="1395">
        <f>SUM(J407,J442,J476)</f>
        <v/>
      </c>
      <c r="K372" s="1395">
        <f>SUM(K407,K442,K476)</f>
        <v/>
      </c>
      <c r="L372" s="1395">
        <f>SUM(L407,L442,L476)</f>
        <v/>
      </c>
      <c r="M372" s="1395">
        <f>SUM(M407,M442,M476)</f>
        <v/>
      </c>
      <c r="N372" s="1395">
        <f>SUM(N407,N442,N476)</f>
        <v/>
      </c>
      <c r="O372" s="1395">
        <f>SUM(O407,O442,O476)</f>
        <v/>
      </c>
      <c r="P372" s="1219">
        <f>SUM(D372:O372)</f>
        <v/>
      </c>
      <c r="R372" s="2362" t="n"/>
    </row>
    <row customHeight="1" ht="14.25" r="373" s="1843" spans="1:57">
      <c r="B373" s="2395" t="n"/>
      <c r="C373" s="2399" t="s">
        <v>209</v>
      </c>
      <c r="D373" s="1395">
        <f>SUM(D408,D443,D477)</f>
        <v/>
      </c>
      <c r="E373" s="1395">
        <f>SUM(E408,E443,E477)</f>
        <v/>
      </c>
      <c r="F373" s="1395">
        <f>SUM(F408,F443,F477)</f>
        <v/>
      </c>
      <c r="G373" s="1395">
        <f>SUM(G408,G443,G477)</f>
        <v/>
      </c>
      <c r="H373" s="1395">
        <f>SUM(H408,H443,H477)</f>
        <v/>
      </c>
      <c r="I373" s="1395">
        <f>SUM(I408,I443,I477)</f>
        <v/>
      </c>
      <c r="J373" s="1395">
        <f>SUM(J408,J443,J477)</f>
        <v/>
      </c>
      <c r="K373" s="1395">
        <f>SUM(K408,K443,K477)</f>
        <v/>
      </c>
      <c r="L373" s="1395">
        <f>SUM(L408,L443,L477)</f>
        <v/>
      </c>
      <c r="M373" s="1395">
        <f>SUM(M408,M443,M477)</f>
        <v/>
      </c>
      <c r="N373" s="1395">
        <f>SUM(N408,N443,N477)</f>
        <v/>
      </c>
      <c r="O373" s="1395">
        <f>SUM(O408,O443,O477)</f>
        <v/>
      </c>
      <c r="P373" s="1219">
        <f>SUM(D373:O373)</f>
        <v/>
      </c>
    </row>
    <row customFormat="1" customHeight="1" ht="14.25" r="374" s="2362" spans="1:57">
      <c r="B374" s="1324" t="n"/>
      <c r="C374" s="2399" t="s">
        <v>211</v>
      </c>
      <c r="D374" s="1232">
        <f>SUM(D373:D373)</f>
        <v/>
      </c>
      <c r="E374" s="1232">
        <f>SUM(E373:E373)</f>
        <v/>
      </c>
      <c r="F374" s="1232">
        <f>SUM(F373:F373)</f>
        <v/>
      </c>
      <c r="G374" s="1232">
        <f>SUM(G373:G373)</f>
        <v/>
      </c>
      <c r="H374" s="1232">
        <f>SUM(H373:H373)</f>
        <v/>
      </c>
      <c r="I374" s="1232">
        <f>SUM(I373:I373)</f>
        <v/>
      </c>
      <c r="J374" s="1232">
        <f>SUM(J373:J373)</f>
        <v/>
      </c>
      <c r="K374" s="1232">
        <f>SUM(K373:K373)</f>
        <v/>
      </c>
      <c r="L374" s="1232">
        <f>SUM(L373:L373)</f>
        <v/>
      </c>
      <c r="M374" s="1232">
        <f>SUM(M373:M373)</f>
        <v/>
      </c>
      <c r="N374" s="1232">
        <f>SUM(N373:N373)</f>
        <v/>
      </c>
      <c r="O374" s="1232">
        <f>SUM(O373:O373)</f>
        <v/>
      </c>
      <c r="P374" s="1221">
        <f>SUM(D374:O374)</f>
        <v/>
      </c>
    </row>
    <row customHeight="1" ht="14.25" r="375" s="1843" spans="1:57">
      <c r="A375" s="2416" t="s">
        <v>219</v>
      </c>
      <c r="B375" s="2417" t="n"/>
      <c r="C375" s="2418" t="s">
        <v>220</v>
      </c>
      <c r="D375" s="1278">
        <f>SUM(D370,D372)</f>
        <v/>
      </c>
      <c r="E375" s="1270">
        <f>SUM(E370,E372)</f>
        <v/>
      </c>
      <c r="F375" s="1270">
        <f>SUM(F370,F372)</f>
        <v/>
      </c>
      <c r="G375" s="1270">
        <f>SUM(G370,G372)</f>
        <v/>
      </c>
      <c r="H375" s="1270">
        <f>SUM(H370,H372)</f>
        <v/>
      </c>
      <c r="I375" s="1270">
        <f>SUM(I370,I372)</f>
        <v/>
      </c>
      <c r="J375" s="1270">
        <f>SUM(J370,J372)</f>
        <v/>
      </c>
      <c r="K375" s="1270">
        <f>SUM(K370,K372)</f>
        <v/>
      </c>
      <c r="L375" s="1270">
        <f>SUM(L370,L372)</f>
        <v/>
      </c>
      <c r="M375" s="1270">
        <f>SUM(M370,M372)</f>
        <v/>
      </c>
      <c r="N375" s="1270">
        <f>SUM(N370,N372)</f>
        <v/>
      </c>
      <c r="O375" s="1271">
        <f>SUM(O370,O372)</f>
        <v/>
      </c>
      <c r="P375" s="1221">
        <f>SUM(D375:O375)</f>
        <v/>
      </c>
      <c r="Q375" s="2362" t="n"/>
      <c r="R375" s="2362" t="n"/>
      <c r="S375" s="2362" t="n"/>
      <c r="T375" s="2362" t="n"/>
      <c r="U375" s="2362" t="n"/>
      <c r="V375" s="2362" t="n"/>
      <c r="W375" s="2362" t="n"/>
      <c r="X375" s="2362" t="n"/>
      <c r="Y375" s="2362" t="n"/>
      <c r="Z375" s="2362" t="n"/>
      <c r="AA375" s="2362" t="n"/>
      <c r="AB375" s="2362" t="n"/>
      <c r="AC375" s="2362" t="n"/>
      <c r="AD375" s="2362" t="n"/>
      <c r="AE375" s="2362" t="n"/>
    </row>
    <row customHeight="1" ht="14.25" r="376" s="1843" spans="1:57">
      <c r="B376" s="2419" t="n"/>
      <c r="C376" s="2420" t="s">
        <v>221</v>
      </c>
      <c r="D376" s="1279">
        <f>SUM(D371,D373)</f>
        <v/>
      </c>
      <c r="E376" s="140">
        <f>SUM(E371,E373)</f>
        <v/>
      </c>
      <c r="F376" s="140">
        <f>SUM(F371,F373)</f>
        <v/>
      </c>
      <c r="G376" s="140">
        <f>SUM(G371,G373)</f>
        <v/>
      </c>
      <c r="H376" s="140">
        <f>SUM(H371,H373)</f>
        <v/>
      </c>
      <c r="I376" s="140">
        <f>SUM(I371,I373)</f>
        <v/>
      </c>
      <c r="J376" s="140">
        <f>SUM(J371,J373)</f>
        <v/>
      </c>
      <c r="K376" s="140">
        <f>SUM(K371,K373)</f>
        <v/>
      </c>
      <c r="L376" s="140">
        <f>SUM(L371,L373)</f>
        <v/>
      </c>
      <c r="M376" s="140">
        <f>SUM(M371,M373)</f>
        <v/>
      </c>
      <c r="N376" s="140">
        <f>SUM(N371,N373)</f>
        <v/>
      </c>
      <c r="O376" s="1273">
        <f>SUM(O371,O373)</f>
        <v/>
      </c>
      <c r="P376" s="1221">
        <f>SUM(D376:O376)</f>
        <v/>
      </c>
      <c r="Q376" s="2362" t="n"/>
      <c r="R376" s="2362" t="n"/>
      <c r="S376" s="2362" t="n"/>
      <c r="T376" s="2362" t="n"/>
      <c r="U376" s="2362" t="n"/>
      <c r="V376" s="2362" t="n"/>
      <c r="W376" s="2362" t="n"/>
      <c r="X376" s="2362" t="n"/>
      <c r="Y376" s="2362" t="n"/>
      <c r="Z376" s="2362" t="n"/>
      <c r="AA376" s="2362" t="n"/>
      <c r="AB376" s="2362" t="n"/>
      <c r="AC376" s="2362" t="n"/>
      <c r="AD376" s="2362" t="n"/>
      <c r="AE376" s="2362" t="n"/>
    </row>
    <row customHeight="1" ht="14.25" r="377" s="1843" spans="1:57">
      <c r="B377" s="1274" t="n"/>
      <c r="C377" s="2421" t="s">
        <v>222</v>
      </c>
      <c r="D377" s="1280">
        <f>SUM(D375:D376)</f>
        <v/>
      </c>
      <c r="E377" s="1276">
        <f>SUM(E375:E376)</f>
        <v/>
      </c>
      <c r="F377" s="1276">
        <f>SUM(F375:F376)</f>
        <v/>
      </c>
      <c r="G377" s="1276">
        <f>SUM(G375:G376)</f>
        <v/>
      </c>
      <c r="H377" s="1276">
        <f>SUM(H375:H376)</f>
        <v/>
      </c>
      <c r="I377" s="1276">
        <f>SUM(I375:I376)</f>
        <v/>
      </c>
      <c r="J377" s="1276">
        <f>SUM(J375:J376)</f>
        <v/>
      </c>
      <c r="K377" s="1276">
        <f>SUM(K375:K376)</f>
        <v/>
      </c>
      <c r="L377" s="1276">
        <f>SUM(L375:L376)</f>
        <v/>
      </c>
      <c r="M377" s="1276">
        <f>SUM(M375:M376)</f>
        <v/>
      </c>
      <c r="N377" s="1276">
        <f>SUM(N375:N376)</f>
        <v/>
      </c>
      <c r="O377" s="1277">
        <f>SUM(O375:O376)</f>
        <v/>
      </c>
      <c r="P377" s="1221">
        <f>SUM(D377:O377)</f>
        <v/>
      </c>
      <c r="Q377" s="2362" t="n"/>
      <c r="R377" s="2362" t="n"/>
      <c r="S377" s="2362" t="n"/>
      <c r="T377" s="2362" t="n"/>
      <c r="U377" s="2362" t="n"/>
      <c r="V377" s="2362" t="n"/>
      <c r="W377" s="2362" t="n"/>
      <c r="X377" s="2362" t="n"/>
      <c r="Y377" s="2362" t="n"/>
      <c r="Z377" s="2362" t="n"/>
      <c r="AA377" s="2362" t="n"/>
      <c r="AB377" s="2362" t="n"/>
      <c r="AC377" s="2362" t="n"/>
      <c r="AD377" s="2362" t="n"/>
      <c r="AE377" s="2362" t="n"/>
    </row>
    <row customHeight="1" ht="14.25" r="378" s="1843" spans="1:57">
      <c r="A378" s="2422" t="n"/>
      <c r="C378" s="2399" t="n"/>
      <c r="D378" s="2414" t="n"/>
      <c r="E378" s="2414" t="n"/>
      <c r="F378" s="2414" t="n"/>
      <c r="G378" s="2414" t="n"/>
      <c r="H378" s="2414" t="n"/>
      <c r="I378" s="2414" t="n"/>
      <c r="J378" s="2414" t="n"/>
      <c r="K378" s="2414" t="n"/>
      <c r="L378" s="2414" t="n"/>
      <c r="M378" s="2414" t="n"/>
      <c r="N378" s="2414" t="n"/>
      <c r="O378" s="2414" t="n"/>
      <c r="P378" s="2422" t="n"/>
      <c r="Q378" s="2362" t="n"/>
      <c r="R378" s="2362" t="n"/>
      <c r="S378" s="2362" t="n"/>
      <c r="T378" s="2362" t="n"/>
      <c r="U378" s="2362" t="n"/>
      <c r="V378" s="2362" t="n"/>
      <c r="W378" s="2362" t="n"/>
      <c r="X378" s="2362" t="n"/>
      <c r="Y378" s="2362" t="n"/>
      <c r="Z378" s="2362" t="n"/>
      <c r="AA378" s="2362" t="n"/>
      <c r="AB378" s="2362" t="n"/>
      <c r="AC378" s="2362" t="n"/>
      <c r="AD378" s="2362" t="n"/>
      <c r="AE378" s="2362" t="n"/>
    </row>
    <row customHeight="1" ht="14.25" r="379" s="1843" spans="1:57">
      <c r="A379" s="2422" t="n"/>
      <c r="C379" s="2399" t="n"/>
      <c r="D379" s="2414" t="n"/>
      <c r="E379" s="2414" t="n"/>
      <c r="F379" s="2414" t="n"/>
      <c r="G379" s="2414" t="n"/>
      <c r="H379" s="2414" t="n"/>
      <c r="I379" s="2414" t="n"/>
      <c r="J379" s="2414" t="n"/>
      <c r="K379" s="2414" t="n"/>
      <c r="L379" s="2414" t="n"/>
      <c r="M379" s="2414" t="n"/>
      <c r="N379" s="2414" t="n"/>
      <c r="O379" s="2414" t="n"/>
      <c r="P379" s="2422" t="n"/>
      <c r="Q379" s="2362" t="n"/>
      <c r="R379" s="2362" t="n"/>
      <c r="S379" s="2362" t="n"/>
      <c r="T379" s="2362" t="n"/>
      <c r="U379" s="2362" t="n"/>
      <c r="V379" s="2362" t="n"/>
      <c r="W379" s="2362" t="n"/>
      <c r="X379" s="2362" t="n"/>
      <c r="Y379" s="2362" t="n"/>
      <c r="Z379" s="2362" t="n"/>
      <c r="AA379" s="2362" t="n"/>
      <c r="AB379" s="2362" t="n"/>
      <c r="AC379" s="2362" t="n"/>
      <c r="AD379" s="2362" t="n"/>
      <c r="AE379" s="2362" t="n"/>
    </row>
    <row customHeight="1" ht="15.75" outlineLevel="1" r="380" s="1843" spans="1:57">
      <c r="A380" s="2370" t="n"/>
      <c r="B380" s="80" t="n"/>
      <c r="C380" s="2371" t="n"/>
      <c r="D380" s="2372" t="n">
        <v>43191</v>
      </c>
      <c r="E380" s="2372" t="n">
        <v>43221</v>
      </c>
      <c r="F380" s="2372" t="n">
        <v>43252</v>
      </c>
      <c r="G380" s="2372" t="n">
        <v>43282</v>
      </c>
      <c r="H380" s="2372" t="n">
        <v>43313</v>
      </c>
      <c r="I380" s="2372" t="n">
        <v>43344</v>
      </c>
      <c r="J380" s="2372" t="n">
        <v>43374</v>
      </c>
      <c r="K380" s="2372" t="n">
        <v>43405</v>
      </c>
      <c r="L380" s="2372" t="n">
        <v>43435</v>
      </c>
      <c r="M380" s="2372" t="n">
        <v>43466</v>
      </c>
      <c r="N380" s="2372" t="n">
        <v>43497</v>
      </c>
      <c r="O380" s="2372" t="n">
        <v>43525</v>
      </c>
      <c r="P380" s="2373" t="s">
        <v>55</v>
      </c>
      <c r="R380" s="2362" t="n"/>
      <c r="S380" s="2362" t="n"/>
    </row>
    <row customHeight="1" ht="15.75" outlineLevel="1" r="381" s="1843" spans="1:57">
      <c r="A381" s="2375" t="s">
        <v>168</v>
      </c>
      <c r="B381" s="64" t="n"/>
      <c r="C381" s="2376" t="s">
        <v>187</v>
      </c>
      <c r="D381" s="1401">
        <f>D$622*D400+D$623*D401+D$624*D402+D$625*D403</f>
        <v/>
      </c>
      <c r="E381" s="1401">
        <f>E$622*E400+E$623*E401+E$624*E402+E$625*E403</f>
        <v/>
      </c>
      <c r="F381" s="1401">
        <f>F$622*F400+F$623*F401+F$624*F402+F$625*F403</f>
        <v/>
      </c>
      <c r="G381" s="1401">
        <f>G$622*G400+G$623*G401+G$624*G402+G$625*G403</f>
        <v/>
      </c>
      <c r="H381" s="1401">
        <f>H$622*H400+H$623*H401+H$624*H402+H$625*H403</f>
        <v/>
      </c>
      <c r="I381" s="1401">
        <f>I$622*I400+I$623*I401+I$624*I402+I$625*I403</f>
        <v/>
      </c>
      <c r="J381" s="1401">
        <f>J$622*J400+J$623*J401+J$624*J402+J$625*J403</f>
        <v/>
      </c>
      <c r="K381" s="1401">
        <f>K$622*K400+K$623*K401+K$624*K402+K$625*K403</f>
        <v/>
      </c>
      <c r="L381" s="1401">
        <f>L$622*L400+L$623*L401+L$624*L402+L$625*L403</f>
        <v/>
      </c>
      <c r="M381" s="1401">
        <f>M$622*M400+M$623*M401+M$624*M402+M$625*M403</f>
        <v/>
      </c>
      <c r="N381" s="1401">
        <f>N$622*N400+N$623*N401+N$624*N402+N$625*N403</f>
        <v/>
      </c>
      <c r="O381" s="1401">
        <f>O$622*O400+O$623*O401+O$624*O402+O$625*O403</f>
        <v/>
      </c>
      <c r="P381" s="49">
        <f>SUM(D381:O381)</f>
        <v/>
      </c>
      <c r="R381" s="2362" t="n"/>
      <c r="S381" s="2362" t="n"/>
    </row>
    <row customHeight="1" ht="14.25" outlineLevel="1" r="382" s="1843" spans="1:57">
      <c r="A382" s="2436" t="s">
        <v>108</v>
      </c>
      <c r="B382" s="66" t="n"/>
      <c r="C382" s="2379" t="s">
        <v>189</v>
      </c>
      <c r="D382" s="1380">
        <f>D348*D$404/D$369</f>
        <v/>
      </c>
      <c r="E382" s="1380">
        <f>E348*E$404/E$369</f>
        <v/>
      </c>
      <c r="F382" s="1380">
        <f>F348*F$404/F$369</f>
        <v/>
      </c>
      <c r="G382" s="1380">
        <f>G348*G$404/G$369</f>
        <v/>
      </c>
      <c r="H382" s="1380">
        <f>H348*H$404/H$369</f>
        <v/>
      </c>
      <c r="I382" s="1380">
        <f>I348*I$404/I$369</f>
        <v/>
      </c>
      <c r="J382" s="1380">
        <f>J348*J$404/J$369</f>
        <v/>
      </c>
      <c r="K382" s="1380">
        <f>K348*K$404/K$369</f>
        <v/>
      </c>
      <c r="L382" s="1380">
        <f>L348*L$404/L$369</f>
        <v/>
      </c>
      <c r="M382" s="1380">
        <f>M348*M$404/M$369</f>
        <v/>
      </c>
      <c r="N382" s="1380">
        <f>N348*N$404/N$369</f>
        <v/>
      </c>
      <c r="O382" s="1380">
        <f>O348*O$404/O$369</f>
        <v/>
      </c>
      <c r="P382" s="46">
        <f>SUM(D382:O382)</f>
        <v/>
      </c>
      <c r="R382" s="2362" t="n"/>
      <c r="S382" s="2362" t="n"/>
    </row>
    <row customHeight="1" ht="15.75" outlineLevel="1" r="383" s="1843" spans="1:57">
      <c r="A383" s="2403" t="n"/>
      <c r="B383" s="66" t="n"/>
      <c r="C383" s="2379" t="s">
        <v>231</v>
      </c>
      <c r="D383" s="1380">
        <f>D349*D$404/D$369</f>
        <v/>
      </c>
      <c r="E383" s="1380">
        <f>E349*E$404/E$369</f>
        <v/>
      </c>
      <c r="F383" s="1380">
        <f>F349*F$404/F$369</f>
        <v/>
      </c>
      <c r="G383" s="1380">
        <f>G349*G$404/G$369</f>
        <v/>
      </c>
      <c r="H383" s="1380">
        <f>H349*H$404/H$369</f>
        <v/>
      </c>
      <c r="I383" s="1380">
        <f>I349*I$404/I$369</f>
        <v/>
      </c>
      <c r="J383" s="1380">
        <f>J349*J$404/J$369</f>
        <v/>
      </c>
      <c r="K383" s="1380">
        <f>K349*K$404/K$369</f>
        <v/>
      </c>
      <c r="L383" s="1380">
        <f>L349*L$404/L$369</f>
        <v/>
      </c>
      <c r="M383" s="1380">
        <f>M349*M$404/M$369</f>
        <v/>
      </c>
      <c r="N383" s="1380">
        <f>N349*N$404/N$369</f>
        <v/>
      </c>
      <c r="O383" s="1380">
        <f>O349*O$404/O$369</f>
        <v/>
      </c>
      <c r="P383" s="46">
        <f>SUM(D383:O383)</f>
        <v/>
      </c>
      <c r="R383" s="2362" t="n"/>
      <c r="S383" s="2362" t="n"/>
    </row>
    <row customHeight="1" ht="14.25" outlineLevel="1" r="384" s="1843" spans="1:57">
      <c r="A384" s="2381" t="n"/>
      <c r="B384" s="66" t="n"/>
      <c r="C384" s="2379" t="s">
        <v>191</v>
      </c>
      <c r="D384" s="1380">
        <f>D350*D$404/D$369</f>
        <v/>
      </c>
      <c r="E384" s="1380">
        <f>E350*E$404/E$369</f>
        <v/>
      </c>
      <c r="F384" s="1380">
        <f>F350*F$404/F$369</f>
        <v/>
      </c>
      <c r="G384" s="1380">
        <f>G350*G$404/G$369</f>
        <v/>
      </c>
      <c r="H384" s="1380">
        <f>H350*H$404/H$369</f>
        <v/>
      </c>
      <c r="I384" s="1380">
        <f>I350*I$404/I$369</f>
        <v/>
      </c>
      <c r="J384" s="1380">
        <f>J350*J$404/J$369</f>
        <v/>
      </c>
      <c r="K384" s="1380">
        <f>K350*K$404/K$369</f>
        <v/>
      </c>
      <c r="L384" s="1380">
        <f>L350*L$404/L$369</f>
        <v/>
      </c>
      <c r="M384" s="1380">
        <f>M350*M$404/M$369</f>
        <v/>
      </c>
      <c r="N384" s="1380">
        <f>N350*N$404/N$369</f>
        <v/>
      </c>
      <c r="O384" s="1380">
        <f>O350*O$404/O$369</f>
        <v/>
      </c>
      <c r="P384" s="46">
        <f>SUM(D384:O384)</f>
        <v/>
      </c>
      <c r="R384" s="2362" t="n"/>
      <c r="S384" s="2362" t="n"/>
    </row>
    <row customHeight="1" ht="14.25" outlineLevel="1" r="385" s="1843" spans="1:57">
      <c r="A385" s="2381" t="n"/>
      <c r="B385" s="66" t="n"/>
      <c r="C385" s="2379" t="s">
        <v>192</v>
      </c>
      <c r="D385" s="1380">
        <f>D351*D$404/D$369</f>
        <v/>
      </c>
      <c r="E385" s="1380">
        <f>E351*E$404/E$369</f>
        <v/>
      </c>
      <c r="F385" s="1380">
        <f>F351*F$404/F$369</f>
        <v/>
      </c>
      <c r="G385" s="1380">
        <f>G351*G$404/G$369</f>
        <v/>
      </c>
      <c r="H385" s="1380">
        <f>H351*H$404/H$369</f>
        <v/>
      </c>
      <c r="I385" s="1380">
        <f>I351*I$404/I$369</f>
        <v/>
      </c>
      <c r="J385" s="1380">
        <f>J351*J$404/J$369</f>
        <v/>
      </c>
      <c r="K385" s="1380">
        <f>K351*K$404/K$369</f>
        <v/>
      </c>
      <c r="L385" s="1380">
        <f>L351*L$404/L$369</f>
        <v/>
      </c>
      <c r="M385" s="1380">
        <f>M351*M$404/M$369</f>
        <v/>
      </c>
      <c r="N385" s="1380">
        <f>N351*N$404/N$369</f>
        <v/>
      </c>
      <c r="O385" s="1380">
        <f>O351*O$404/O$369</f>
        <v/>
      </c>
      <c r="P385" s="46">
        <f>SUM(D385:O385)</f>
        <v/>
      </c>
      <c r="R385" s="2362" t="n"/>
      <c r="S385" s="2362" t="n"/>
    </row>
    <row customHeight="1" ht="14.25" outlineLevel="1" r="386" s="1843" spans="1:57">
      <c r="A386" s="2381" t="n"/>
      <c r="B386" s="66" t="n"/>
      <c r="C386" s="2379" t="s">
        <v>213</v>
      </c>
      <c r="D386" s="1380">
        <f>D352*D$404/D$369</f>
        <v/>
      </c>
      <c r="E386" s="1380">
        <f>E352*E$404/E$369</f>
        <v/>
      </c>
      <c r="F386" s="1380">
        <f>F352*F$404/F$369</f>
        <v/>
      </c>
      <c r="G386" s="1380">
        <f>G352*G$404/G$369</f>
        <v/>
      </c>
      <c r="H386" s="1380">
        <f>H352*H$404/H$369</f>
        <v/>
      </c>
      <c r="I386" s="1380">
        <f>I352*I$404/I$369</f>
        <v/>
      </c>
      <c r="J386" s="1380">
        <f>J352*J$404/J$369</f>
        <v/>
      </c>
      <c r="K386" s="1380">
        <f>K352*K$404/K$369</f>
        <v/>
      </c>
      <c r="L386" s="1380">
        <f>L352*L$404/L$369</f>
        <v/>
      </c>
      <c r="M386" s="1380">
        <f>M352*M$404/M$369</f>
        <v/>
      </c>
      <c r="N386" s="1380">
        <f>N352*N$404/N$369</f>
        <v/>
      </c>
      <c r="O386" s="1380">
        <f>O352*O$404/O$369</f>
        <v/>
      </c>
      <c r="P386" s="47">
        <f>SUM(D386:O386)</f>
        <v/>
      </c>
      <c r="R386" s="2362" t="n"/>
      <c r="S386" s="2362" t="n"/>
    </row>
    <row customHeight="1" ht="14.25" outlineLevel="1" r="387" s="1843" spans="1:57">
      <c r="A387" s="2381" t="n"/>
      <c r="B387" s="123" t="n"/>
      <c r="C387" s="2382" t="s">
        <v>195</v>
      </c>
      <c r="D387" s="1380">
        <f>D353*D$404/D$369</f>
        <v/>
      </c>
      <c r="E387" s="1380">
        <f>E353*E$404/E$369</f>
        <v/>
      </c>
      <c r="F387" s="1380">
        <f>F353*F$404/F$369</f>
        <v/>
      </c>
      <c r="G387" s="1380">
        <f>G353*G$404/G$369</f>
        <v/>
      </c>
      <c r="H387" s="1380">
        <f>H353*H$404/H$369</f>
        <v/>
      </c>
      <c r="I387" s="1380">
        <f>I353*I$404/I$369</f>
        <v/>
      </c>
      <c r="J387" s="1380">
        <f>J353*J$404/J$369</f>
        <v/>
      </c>
      <c r="K387" s="1380">
        <f>K353*K$404/K$369</f>
        <v/>
      </c>
      <c r="L387" s="1380">
        <f>L353*L$404/L$369</f>
        <v/>
      </c>
      <c r="M387" s="1380">
        <f>M353*M$404/M$369</f>
        <v/>
      </c>
      <c r="N387" s="1380">
        <f>N353*N$404/N$369</f>
        <v/>
      </c>
      <c r="O387" s="1380">
        <f>O353*O$404/O$369</f>
        <v/>
      </c>
      <c r="P387" s="46">
        <f>SUM(D387:O387)</f>
        <v/>
      </c>
      <c r="R387" s="2362" t="n"/>
      <c r="S387" s="2362" t="n"/>
    </row>
    <row customHeight="1" ht="14.25" outlineLevel="1" r="388" s="1843" spans="1:57">
      <c r="A388" s="2381" t="n"/>
      <c r="B388" s="70" t="s">
        <v>214</v>
      </c>
      <c r="C388" s="2406" t="n"/>
      <c r="D388" s="73">
        <f>SUM(D381:D387)</f>
        <v/>
      </c>
      <c r="E388" s="73">
        <f>SUM(E381:E387)</f>
        <v/>
      </c>
      <c r="F388" s="73">
        <f>SUM(F381:F387)</f>
        <v/>
      </c>
      <c r="G388" s="73">
        <f>SUM(G381:G387)</f>
        <v/>
      </c>
      <c r="H388" s="73">
        <f>SUM(H381:H387)</f>
        <v/>
      </c>
      <c r="I388" s="73">
        <f>SUM(I381:I387)</f>
        <v/>
      </c>
      <c r="J388" s="73">
        <f>SUM(J381:J387)</f>
        <v/>
      </c>
      <c r="K388" s="73">
        <f>SUM(K381:K387)</f>
        <v/>
      </c>
      <c r="L388" s="73">
        <f>SUM(L381:L387)</f>
        <v/>
      </c>
      <c r="M388" s="73">
        <f>SUM(M381:M387)</f>
        <v/>
      </c>
      <c r="N388" s="73">
        <f>SUM(N381:N387)</f>
        <v/>
      </c>
      <c r="O388" s="73">
        <f>SUM(O381:O387)</f>
        <v/>
      </c>
      <c r="P388" s="76">
        <f>SUM(D388:O388)</f>
        <v/>
      </c>
      <c r="R388" s="2362" t="n"/>
      <c r="S388" s="2362" t="n"/>
    </row>
    <row customHeight="1" ht="14.25" outlineLevel="1" r="389" s="1843" spans="1:57">
      <c r="A389" s="2407" t="n"/>
      <c r="B389" s="123" t="n"/>
      <c r="C389" s="2385" t="s">
        <v>161</v>
      </c>
      <c r="D389" s="962">
        <f>D355*D$412/D$377</f>
        <v/>
      </c>
      <c r="E389" s="962">
        <f>E355*E$412/E$377</f>
        <v/>
      </c>
      <c r="F389" s="962">
        <f>F355*F$412/F$377</f>
        <v/>
      </c>
      <c r="G389" s="962">
        <f>G355*G$412/G$377</f>
        <v/>
      </c>
      <c r="H389" s="962">
        <f>H355*H$412/H$377</f>
        <v/>
      </c>
      <c r="I389" s="962">
        <f>I355*I$412/I$377</f>
        <v/>
      </c>
      <c r="J389" s="962">
        <f>J355*J$412/J$377</f>
        <v/>
      </c>
      <c r="K389" s="962">
        <f>K355*K$412/K$377</f>
        <v/>
      </c>
      <c r="L389" s="962">
        <f>L355*L$412/L$377</f>
        <v/>
      </c>
      <c r="M389" s="962">
        <f>M355*M$412/M$377</f>
        <v/>
      </c>
      <c r="N389" s="962">
        <f>N355*N$412/N$377</f>
        <v/>
      </c>
      <c r="O389" s="962">
        <f>O355*O$412/O$377</f>
        <v/>
      </c>
      <c r="P389" s="85">
        <f>SUM(D389:O389)</f>
        <v/>
      </c>
      <c r="Q389" s="2362" t="n"/>
      <c r="R389" s="2362" t="n"/>
      <c r="S389" s="2362" t="n"/>
      <c r="T389" s="2362" t="n"/>
      <c r="U389" s="2362" t="n"/>
      <c r="V389" s="2362" t="n"/>
      <c r="W389" s="2362" t="n"/>
      <c r="X389" s="2362" t="n"/>
      <c r="Y389" s="2362" t="n"/>
      <c r="Z389" s="2362" t="n"/>
      <c r="AA389" s="2362" t="n"/>
      <c r="AB389" s="2362" t="n"/>
      <c r="AC389" s="2362" t="n"/>
      <c r="AD389" s="2362" t="n"/>
      <c r="AE389" s="2362" t="n"/>
    </row>
    <row customHeight="1" ht="14.25" outlineLevel="1" r="390" s="1843" spans="1:57">
      <c r="A390" s="2407" t="n"/>
      <c r="B390" s="123" t="n"/>
      <c r="C390" s="2385" t="s">
        <v>215</v>
      </c>
      <c r="D390" s="962">
        <f>D356*D$404/D$369</f>
        <v/>
      </c>
      <c r="E390" s="962">
        <f>E356*E$404/E$369</f>
        <v/>
      </c>
      <c r="F390" s="962">
        <f>F356*F$404/F$369</f>
        <v/>
      </c>
      <c r="G390" s="962">
        <f>G356*G$404/G$369</f>
        <v/>
      </c>
      <c r="H390" s="962">
        <f>H356*H$404/H$369</f>
        <v/>
      </c>
      <c r="I390" s="962">
        <f>I356*I$404/I$369</f>
        <v/>
      </c>
      <c r="J390" s="962">
        <f>J356*J$404/J$369</f>
        <v/>
      </c>
      <c r="K390" s="962">
        <f>K356*K$404/K$369</f>
        <v/>
      </c>
      <c r="L390" s="962">
        <f>L356*L$404/L$369</f>
        <v/>
      </c>
      <c r="M390" s="962">
        <f>M356*M$404/M$369</f>
        <v/>
      </c>
      <c r="N390" s="962">
        <f>N356*N$404/N$369</f>
        <v/>
      </c>
      <c r="O390" s="962">
        <f>O356*O$404/O$369</f>
        <v/>
      </c>
      <c r="P390" s="85">
        <f>SUM(D390:O390)</f>
        <v/>
      </c>
      <c r="Q390" s="2362" t="n"/>
      <c r="R390" s="2362" t="n"/>
      <c r="S390" s="2362" t="n"/>
      <c r="T390" s="2362" t="n"/>
      <c r="U390" s="2362" t="n"/>
      <c r="V390" s="2362" t="n"/>
      <c r="W390" s="2362" t="n"/>
      <c r="X390" s="2362" t="n"/>
      <c r="Y390" s="2362" t="n"/>
      <c r="Z390" s="2362" t="n"/>
      <c r="AA390" s="2362" t="n"/>
      <c r="AB390" s="2362" t="n"/>
      <c r="AC390" s="2362" t="n"/>
      <c r="AD390" s="2362" t="n"/>
      <c r="AE390" s="2362" t="n"/>
    </row>
    <row customHeight="1" ht="14.25" outlineLevel="1" r="391" s="1843" spans="1:57">
      <c r="A391" s="2407" t="n"/>
      <c r="B391" s="1171" t="n"/>
      <c r="C391" s="2386" t="s">
        <v>197</v>
      </c>
      <c r="D391" s="962">
        <f>D357*D$410/D$375</f>
        <v/>
      </c>
      <c r="E391" s="962">
        <f>E357*E$410/E$375</f>
        <v/>
      </c>
      <c r="F391" s="962">
        <f>F357*F$410/F$375</f>
        <v/>
      </c>
      <c r="G391" s="962">
        <f>G357*G$410/G$375</f>
        <v/>
      </c>
      <c r="H391" s="962">
        <f>H357*H$410/H$375</f>
        <v/>
      </c>
      <c r="I391" s="962">
        <f>I357*I$410/I$375</f>
        <v/>
      </c>
      <c r="J391" s="962">
        <f>J357*J$410/J$375</f>
        <v/>
      </c>
      <c r="K391" s="962">
        <f>K357*K$410/K$375</f>
        <v/>
      </c>
      <c r="L391" s="962">
        <f>L357*L$410/L$375</f>
        <v/>
      </c>
      <c r="M391" s="962">
        <f>M357*M$410/M$375</f>
        <v/>
      </c>
      <c r="N391" s="962">
        <f>N357*N$410/N$375</f>
        <v/>
      </c>
      <c r="O391" s="962">
        <f>O357*O$410/O$375</f>
        <v/>
      </c>
      <c r="P391" s="85">
        <f>SUM(D391:O391)</f>
        <v/>
      </c>
      <c r="Q391" s="2362" t="n"/>
      <c r="R391" s="2362" t="n"/>
      <c r="S391" s="2362" t="n"/>
      <c r="T391" s="2362" t="n"/>
      <c r="U391" s="2362" t="n"/>
      <c r="V391" s="2362" t="n"/>
      <c r="W391" s="2362" t="n"/>
      <c r="X391" s="2362" t="n"/>
      <c r="Y391" s="2362" t="n"/>
      <c r="Z391" s="2362" t="n"/>
      <c r="AA391" s="2362" t="n"/>
      <c r="AB391" s="2362" t="n"/>
      <c r="AC391" s="2362" t="n"/>
      <c r="AD391" s="2362" t="n"/>
      <c r="AE391" s="2362" t="n"/>
    </row>
    <row customHeight="1" ht="14.25" outlineLevel="1" r="392" s="1843" spans="1:57">
      <c r="A392" s="2407" t="n"/>
      <c r="B392" s="123" t="n"/>
      <c r="C392" s="2386" t="s">
        <v>198</v>
      </c>
      <c r="D392" s="962">
        <f>D358*D$411/D$376</f>
        <v/>
      </c>
      <c r="E392" s="962">
        <f>E358*E$411/E$376</f>
        <v/>
      </c>
      <c r="F392" s="962">
        <f>F358*F$411/F$376</f>
        <v/>
      </c>
      <c r="G392" s="962">
        <f>G358*G$411/G$376</f>
        <v/>
      </c>
      <c r="H392" s="962">
        <f>H358*H$411/H$376</f>
        <v/>
      </c>
      <c r="I392" s="962">
        <f>I358*I$411/I$376</f>
        <v/>
      </c>
      <c r="J392" s="962">
        <f>J358*J$411/J$376</f>
        <v/>
      </c>
      <c r="K392" s="962">
        <f>K358*K$411/K$376</f>
        <v/>
      </c>
      <c r="L392" s="962">
        <f>L358*L$411/L$376</f>
        <v/>
      </c>
      <c r="M392" s="962">
        <f>M358*M$411/M$376</f>
        <v/>
      </c>
      <c r="N392" s="962">
        <f>N358*N$411/N$376</f>
        <v/>
      </c>
      <c r="O392" s="962">
        <f>O358*O$411/O$376</f>
        <v/>
      </c>
      <c r="P392" s="85">
        <f>SUM(D392:O392)</f>
        <v/>
      </c>
      <c r="Q392" s="2362" t="n"/>
      <c r="R392" s="2362" t="n"/>
      <c r="S392" s="2362" t="n"/>
      <c r="T392" s="2362" t="n"/>
      <c r="U392" s="2362" t="n"/>
      <c r="V392" s="2362" t="n"/>
      <c r="W392" s="2362" t="n"/>
      <c r="X392" s="2362" t="n"/>
      <c r="Y392" s="2362" t="n"/>
      <c r="Z392" s="2362" t="n"/>
      <c r="AA392" s="2362" t="n"/>
      <c r="AB392" s="2362" t="n"/>
      <c r="AC392" s="2362" t="n"/>
      <c r="AD392" s="2362" t="n"/>
      <c r="AE392" s="2362" t="n"/>
    </row>
    <row customFormat="1" customHeight="1" ht="14.25" outlineLevel="1" r="393" s="2437" spans="1:57">
      <c r="A393" s="2407" t="n"/>
      <c r="B393" s="123" t="n"/>
      <c r="C393" s="2385" t="s">
        <v>199</v>
      </c>
      <c r="D393" s="962">
        <f>D359*D$410/D$375</f>
        <v/>
      </c>
      <c r="E393" s="962">
        <f>E359*E$410/E$375</f>
        <v/>
      </c>
      <c r="F393" s="962">
        <f>F359*F$410/F$375</f>
        <v/>
      </c>
      <c r="G393" s="962">
        <f>G359*G$410/G$375</f>
        <v/>
      </c>
      <c r="H393" s="962">
        <f>H359*H$410/H$375</f>
        <v/>
      </c>
      <c r="I393" s="962">
        <f>I359*I$410/I$375</f>
        <v/>
      </c>
      <c r="J393" s="962">
        <f>J359*J$410/J$375</f>
        <v/>
      </c>
      <c r="K393" s="962">
        <f>K359*K$410/K$375</f>
        <v/>
      </c>
      <c r="L393" s="962">
        <f>L359*L$410/L$375</f>
        <v/>
      </c>
      <c r="M393" s="962">
        <f>M359*M$410/M$375</f>
        <v/>
      </c>
      <c r="N393" s="962">
        <f>N359*N$410/N$375</f>
        <v/>
      </c>
      <c r="O393" s="962">
        <f>O359*O$410/O$375</f>
        <v/>
      </c>
      <c r="P393" s="85">
        <f>SUM(D393:O393)</f>
        <v/>
      </c>
      <c r="Q393" s="2362" t="n"/>
      <c r="R393" s="2362" t="n"/>
      <c r="S393" s="2362" t="n"/>
      <c r="T393" s="2362" t="n"/>
      <c r="U393" s="2362" t="n"/>
      <c r="V393" s="2362" t="n"/>
      <c r="W393" s="2362" t="n"/>
      <c r="X393" s="2362" t="n"/>
      <c r="Y393" s="2362" t="n"/>
      <c r="Z393" s="2362" t="n"/>
      <c r="AA393" s="2362" t="n"/>
      <c r="AB393" s="2362" t="n"/>
      <c r="AC393" s="2362" t="n"/>
      <c r="AD393" s="2362" t="n"/>
      <c r="AE393" s="2362" t="n"/>
      <c r="AF393" s="2362" t="n"/>
      <c r="AG393" s="2362" t="n"/>
      <c r="AH393" s="2362" t="n"/>
      <c r="AI393" s="2362" t="n"/>
      <c r="AJ393" s="2362" t="n"/>
      <c r="AK393" s="2362" t="n"/>
      <c r="AL393" s="2362" t="n"/>
      <c r="AM393" s="2362" t="n"/>
      <c r="AN393" s="2362" t="n"/>
      <c r="AO393" s="2362" t="n"/>
      <c r="AP393" s="2362" t="n"/>
      <c r="AQ393" s="2362" t="n"/>
      <c r="AR393" s="2362" t="n"/>
      <c r="AS393" s="2362" t="n"/>
      <c r="AT393" s="2362" t="n"/>
      <c r="AU393" s="2362" t="n"/>
      <c r="AV393" s="2362" t="n"/>
      <c r="AW393" s="2362" t="n"/>
      <c r="AX393" s="2362" t="n"/>
      <c r="AY393" s="2362" t="n"/>
      <c r="AZ393" s="2362" t="n"/>
      <c r="BA393" s="2362" t="n"/>
      <c r="BB393" s="2362" t="n"/>
      <c r="BC393" s="2362" t="n"/>
      <c r="BD393" s="2362" t="n"/>
      <c r="BE393" s="2362" t="n"/>
    </row>
    <row customFormat="1" customHeight="1" ht="14.25" outlineLevel="1" r="394" s="2437" spans="1:57">
      <c r="A394" s="2407" t="n"/>
      <c r="B394" s="123" t="n"/>
      <c r="C394" s="2385" t="s">
        <v>200</v>
      </c>
      <c r="D394" s="962">
        <f>D360*D$411/D$376</f>
        <v/>
      </c>
      <c r="E394" s="962">
        <f>E360*E$411/E$376</f>
        <v/>
      </c>
      <c r="F394" s="962">
        <f>F360*F$411/F$376</f>
        <v/>
      </c>
      <c r="G394" s="962">
        <f>G360*G$411/G$376</f>
        <v/>
      </c>
      <c r="H394" s="962">
        <f>H360*H$411/H$376</f>
        <v/>
      </c>
      <c r="I394" s="962">
        <f>I360*I$411/I$376</f>
        <v/>
      </c>
      <c r="J394" s="962">
        <f>J360*J$411/J$376</f>
        <v/>
      </c>
      <c r="K394" s="962">
        <f>K360*K$411/K$376</f>
        <v/>
      </c>
      <c r="L394" s="962">
        <f>L360*L$411/L$376</f>
        <v/>
      </c>
      <c r="M394" s="962">
        <f>M360*M$411/M$376</f>
        <v/>
      </c>
      <c r="N394" s="962">
        <f>N360*N$411/N$376</f>
        <v/>
      </c>
      <c r="O394" s="962">
        <f>O360*O$411/O$376</f>
        <v/>
      </c>
      <c r="P394" s="85">
        <f>SUM(D394:O394)</f>
        <v/>
      </c>
      <c r="Q394" s="2362" t="n"/>
      <c r="R394" s="2362" t="n"/>
      <c r="S394" s="2362" t="n"/>
      <c r="T394" s="2362" t="n"/>
      <c r="U394" s="2362" t="n"/>
      <c r="V394" s="2362" t="n"/>
      <c r="W394" s="2362" t="n"/>
      <c r="X394" s="2362" t="n"/>
      <c r="Y394" s="2362" t="n"/>
      <c r="Z394" s="2362" t="n"/>
      <c r="AA394" s="2362" t="n"/>
      <c r="AB394" s="2362" t="n"/>
      <c r="AC394" s="2362" t="n"/>
      <c r="AD394" s="2362" t="n"/>
      <c r="AE394" s="2362" t="n"/>
      <c r="AF394" s="2362" t="n"/>
      <c r="AG394" s="2362" t="n"/>
      <c r="AH394" s="2362" t="n"/>
      <c r="AI394" s="2362" t="n"/>
      <c r="AJ394" s="2362" t="n"/>
      <c r="AK394" s="2362" t="n"/>
      <c r="AL394" s="2362" t="n"/>
      <c r="AM394" s="2362" t="n"/>
      <c r="AN394" s="2362" t="n"/>
      <c r="AO394" s="2362" t="n"/>
      <c r="AP394" s="2362" t="n"/>
      <c r="AQ394" s="2362" t="n"/>
      <c r="AR394" s="2362" t="n"/>
      <c r="AS394" s="2362" t="n"/>
      <c r="AT394" s="2362" t="n"/>
      <c r="AU394" s="2362" t="n"/>
      <c r="AV394" s="2362" t="n"/>
      <c r="AW394" s="2362" t="n"/>
      <c r="AX394" s="2362" t="n"/>
      <c r="AY394" s="2362" t="n"/>
      <c r="AZ394" s="2362" t="n"/>
      <c r="BA394" s="2362" t="n"/>
      <c r="BB394" s="2362" t="n"/>
      <c r="BC394" s="2362" t="n"/>
      <c r="BD394" s="2362" t="n"/>
      <c r="BE394" s="2362" t="n"/>
    </row>
    <row customFormat="1" customHeight="1" ht="14.25" outlineLevel="1" r="395" s="2369" spans="1:57">
      <c r="A395" s="2408" t="n"/>
      <c r="B395" s="71" t="n"/>
      <c r="C395" s="2385" t="s">
        <v>201</v>
      </c>
      <c r="D395" s="962">
        <f>D361*D$412/D$377</f>
        <v/>
      </c>
      <c r="E395" s="962">
        <f>E361*E$412/E$377</f>
        <v/>
      </c>
      <c r="F395" s="962">
        <f>F361*F$412/F$377</f>
        <v/>
      </c>
      <c r="G395" s="962">
        <f>G361*G$412/G$377</f>
        <v/>
      </c>
      <c r="H395" s="962">
        <f>H361*H$412/H$377</f>
        <v/>
      </c>
      <c r="I395" s="962">
        <f>I361*I$412/I$377</f>
        <v/>
      </c>
      <c r="J395" s="962">
        <f>J361*J$412/J$377</f>
        <v/>
      </c>
      <c r="K395" s="962">
        <f>K361*K$412/K$377</f>
        <v/>
      </c>
      <c r="L395" s="962">
        <f>L361*L$412/L$377</f>
        <v/>
      </c>
      <c r="M395" s="962">
        <f>M361*M$412/M$377</f>
        <v/>
      </c>
      <c r="N395" s="962">
        <f>N361*N$412/N$377</f>
        <v/>
      </c>
      <c r="O395" s="962">
        <f>O361*O$412/O$377</f>
        <v/>
      </c>
      <c r="P395" s="122">
        <f>SUM(D395:O395)</f>
        <v/>
      </c>
      <c r="Q395" s="2422" t="n"/>
      <c r="R395" s="2362" t="n"/>
      <c r="S395" s="2362" t="n"/>
      <c r="T395" s="2422" t="n"/>
      <c r="U395" s="2422" t="n"/>
      <c r="V395" s="2422" t="n"/>
      <c r="W395" s="2422" t="n"/>
      <c r="X395" s="2422" t="n"/>
      <c r="Y395" s="2422" t="n"/>
      <c r="Z395" s="2422" t="n"/>
      <c r="AA395" s="2422" t="n"/>
      <c r="AB395" s="2422" t="n"/>
      <c r="AC395" s="2422" t="n"/>
      <c r="AD395" s="2422" t="n"/>
      <c r="AE395" s="2422" t="n"/>
      <c r="AF395" s="2422" t="n"/>
      <c r="AG395" s="2422" t="n"/>
      <c r="AH395" s="2422" t="n"/>
      <c r="AI395" s="2422" t="n"/>
      <c r="AJ395" s="2422" t="n"/>
      <c r="AK395" s="2422" t="n"/>
      <c r="AL395" s="2422" t="n"/>
      <c r="AM395" s="2422" t="n"/>
      <c r="AN395" s="2422" t="n"/>
      <c r="AO395" s="2422" t="n"/>
      <c r="AP395" s="2422" t="n"/>
      <c r="AQ395" s="2422" t="n"/>
      <c r="AR395" s="2422" t="n"/>
      <c r="AS395" s="2422" t="n"/>
    </row>
    <row customHeight="1" ht="36" outlineLevel="1" r="396" s="1843" spans="1:57">
      <c r="A396" s="2408" t="n"/>
      <c r="B396" s="1171" t="n"/>
      <c r="C396" s="2387" t="s">
        <v>202</v>
      </c>
      <c r="D396" s="962">
        <f>D362*D$411/D$376</f>
        <v/>
      </c>
      <c r="E396" s="962">
        <f>E362*E$411/E$376</f>
        <v/>
      </c>
      <c r="F396" s="962">
        <f>F362*F$411/F$376</f>
        <v/>
      </c>
      <c r="G396" s="962">
        <f>G362*G$411/G$376</f>
        <v/>
      </c>
      <c r="H396" s="962">
        <f>H362*H$411/H$376</f>
        <v/>
      </c>
      <c r="I396" s="962">
        <f>I362*I$411/I$376</f>
        <v/>
      </c>
      <c r="J396" s="962">
        <f>J362*J$411/J$376</f>
        <v/>
      </c>
      <c r="K396" s="962">
        <f>K362*K$411/K$376</f>
        <v/>
      </c>
      <c r="L396" s="962">
        <f>L362*L$411/L$376</f>
        <v/>
      </c>
      <c r="M396" s="962">
        <f>M362*M$411/M$376</f>
        <v/>
      </c>
      <c r="N396" s="962">
        <f>N362*N$411/N$376</f>
        <v/>
      </c>
      <c r="O396" s="962">
        <f>O362*O$411/O$376</f>
        <v/>
      </c>
      <c r="P396" s="93">
        <f>SUM(D396:O396)</f>
        <v/>
      </c>
      <c r="Q396" s="2362" t="n"/>
      <c r="R396" s="2454" t="n"/>
      <c r="S396" s="2362" t="n"/>
      <c r="T396" s="2362" t="n"/>
      <c r="U396" s="2362" t="n"/>
      <c r="V396" s="2362" t="n"/>
      <c r="W396" s="2362" t="n"/>
      <c r="X396" s="2362" t="n"/>
      <c r="Y396" s="2362" t="n"/>
      <c r="Z396" s="2362" t="n"/>
      <c r="AA396" s="2362" t="n"/>
      <c r="AB396" s="2362" t="n"/>
      <c r="AC396" s="2362" t="n"/>
      <c r="AD396" s="2362" t="n"/>
      <c r="AE396" s="2362" t="n"/>
      <c r="AF396" s="2362" t="n"/>
      <c r="AG396" s="2362" t="n"/>
      <c r="AH396" s="2362" t="n"/>
      <c r="AI396" s="2362" t="n"/>
      <c r="AJ396" s="2362" t="n"/>
      <c r="AK396" s="2362" t="n"/>
      <c r="AL396" s="2362" t="n"/>
      <c r="AM396" s="2362" t="n"/>
      <c r="AN396" s="2362" t="n"/>
      <c r="AO396" s="2362" t="n"/>
      <c r="AP396" s="2362" t="n"/>
      <c r="AQ396" s="2362" t="n"/>
      <c r="AR396" s="2362" t="n"/>
      <c r="AS396" s="2362" t="n"/>
    </row>
    <row customHeight="1" ht="14.25" outlineLevel="1" r="397" s="1843" spans="1:57">
      <c r="A397" s="2407" t="n"/>
      <c r="B397" s="139" t="n"/>
      <c r="C397" s="2439" t="s">
        <v>216</v>
      </c>
      <c r="D397" s="1187">
        <f>D$363*SUM(D$404,D$409)/SUM(D$369,D$374)</f>
        <v/>
      </c>
      <c r="E397" s="1187">
        <f>E$363*SUM(E$404,E$409)/SUM(E$369,E$374)</f>
        <v/>
      </c>
      <c r="F397" s="1187">
        <f>F$363*SUM(F$404,F$409)/SUM(F$369,F$374)</f>
        <v/>
      </c>
      <c r="G397" s="1187">
        <f>G$363*SUM(G$404,G$409)/SUM(G$369,G$374)</f>
        <v/>
      </c>
      <c r="H397" s="1187">
        <f>H$363*SUM(H$404,H$409)/SUM(H$369,H$374)</f>
        <v/>
      </c>
      <c r="I397" s="1187">
        <f>I$363*SUM(I$404,I$409)/SUM(I$369,I$374)</f>
        <v/>
      </c>
      <c r="J397" s="1187">
        <f>J$363*SUM(J$404,J$409)/SUM(J$369,J$374)</f>
        <v/>
      </c>
      <c r="K397" s="1187">
        <f>K$363*SUM(K$404,K$409)/SUM(K$369,K$374)</f>
        <v/>
      </c>
      <c r="L397" s="1187">
        <f>L$363*SUM(L$404,L$409)/SUM(L$369,L$374)</f>
        <v/>
      </c>
      <c r="M397" s="1187">
        <f>M$363*SUM(M$404,M$409)/SUM(M$369,M$374)</f>
        <v/>
      </c>
      <c r="N397" s="1187">
        <f>N$363*SUM(N$404,N$409)/SUM(N$369,N$374)</f>
        <v/>
      </c>
      <c r="O397" s="1187">
        <f>O$363*SUM(O$404,O$409)/SUM(O$369,O$374)</f>
        <v/>
      </c>
      <c r="P397" s="1173">
        <f>SUM(D397:O397)</f>
        <v/>
      </c>
      <c r="Q397" s="2362" t="n"/>
      <c r="R397" s="2362" t="n"/>
      <c r="S397" s="2362" t="n"/>
      <c r="T397" s="2362" t="n"/>
      <c r="U397" s="2362" t="n"/>
      <c r="V397" s="2362" t="n"/>
      <c r="W397" s="2362" t="n"/>
      <c r="X397" s="2362" t="n"/>
      <c r="Y397" s="2362" t="n"/>
      <c r="Z397" s="2362" t="n"/>
      <c r="AA397" s="2362" t="n"/>
      <c r="AB397" s="2362" t="n"/>
      <c r="AC397" s="2362" t="n"/>
      <c r="AD397" s="2362" t="n"/>
      <c r="AE397" s="2362" t="n"/>
      <c r="AF397" s="2362" t="n"/>
      <c r="AG397" s="2362" t="n"/>
      <c r="AH397" s="2362" t="n"/>
      <c r="AI397" s="2362" t="n"/>
      <c r="AJ397" s="2362" t="n"/>
      <c r="AK397" s="2362" t="n"/>
      <c r="AL397" s="2362" t="n"/>
      <c r="AM397" s="2362" t="n"/>
      <c r="AN397" s="2362" t="n"/>
      <c r="AO397" s="2362" t="n"/>
      <c r="AP397" s="2362" t="n"/>
      <c r="AQ397" s="2362" t="n"/>
      <c r="AR397" s="2362" t="n"/>
      <c r="AS397" s="2362" t="n"/>
    </row>
    <row customHeight="1" ht="15" outlineLevel="1" r="398" s="1843" spans="1:57" thickBot="1">
      <c r="A398" s="2408" t="n"/>
      <c r="B398" s="70" t="s">
        <v>217</v>
      </c>
      <c r="C398" s="2406" t="n"/>
      <c r="D398" s="73">
        <f>SUM(D389:D397)</f>
        <v/>
      </c>
      <c r="E398" s="73">
        <f>SUM(E389:E397)</f>
        <v/>
      </c>
      <c r="F398" s="73">
        <f>SUM(F389:F397)</f>
        <v/>
      </c>
      <c r="G398" s="73">
        <f>SUM(G389:G397)</f>
        <v/>
      </c>
      <c r="H398" s="73">
        <f>SUM(H389:H397)</f>
        <v/>
      </c>
      <c r="I398" s="73">
        <f>SUM(I389:I397)</f>
        <v/>
      </c>
      <c r="J398" s="73">
        <f>SUM(J389:J397)</f>
        <v/>
      </c>
      <c r="K398" s="73">
        <f>SUM(K389:K397)</f>
        <v/>
      </c>
      <c r="L398" s="73">
        <f>SUM(L389:L397)</f>
        <v/>
      </c>
      <c r="M398" s="73">
        <f>SUM(M389:M397)</f>
        <v/>
      </c>
      <c r="N398" s="73">
        <f>SUM(N389:N397)</f>
        <v/>
      </c>
      <c r="O398" s="73">
        <f>SUM(O389:O397)</f>
        <v/>
      </c>
      <c r="P398" s="76">
        <f>SUM(D398:O398)</f>
        <v/>
      </c>
      <c r="R398" s="2422" t="n"/>
    </row>
    <row customFormat="1" customHeight="1" ht="15" outlineLevel="1" r="399" s="2362" spans="1:57" thickBot="1">
      <c r="A399" s="2362" t="n"/>
      <c r="B399" s="1324" t="n"/>
      <c r="C399" s="2449" t="s">
        <v>218</v>
      </c>
      <c r="D399" s="1323">
        <f>SUM(D388,D398)</f>
        <v/>
      </c>
      <c r="E399" s="1323">
        <f>SUM(E388,E398)</f>
        <v/>
      </c>
      <c r="F399" s="1323">
        <f>SUM(F388,F398)</f>
        <v/>
      </c>
      <c r="G399" s="1323">
        <f>SUM(G388,G398)</f>
        <v/>
      </c>
      <c r="H399" s="1323">
        <f>SUM(H388,H398)</f>
        <v/>
      </c>
      <c r="I399" s="1323">
        <f>SUM(I388,I398)</f>
        <v/>
      </c>
      <c r="J399" s="1323">
        <f>SUM(J388,J398)</f>
        <v/>
      </c>
      <c r="K399" s="1323">
        <f>SUM(K388,K398)</f>
        <v/>
      </c>
      <c r="L399" s="1323">
        <f>SUM(L388,L398)</f>
        <v/>
      </c>
      <c r="M399" s="1323">
        <f>SUM(M388,M398)</f>
        <v/>
      </c>
      <c r="N399" s="1323">
        <f>SUM(N388,N398)</f>
        <v/>
      </c>
      <c r="O399" s="1323">
        <f>SUM(O388,O398)</f>
        <v/>
      </c>
      <c r="P399" s="89">
        <f>SUM(P388,P398)</f>
        <v/>
      </c>
      <c r="R399" s="2362" t="n"/>
    </row>
    <row customFormat="1" customHeight="1" ht="14.25" outlineLevel="1" r="400" s="2362" spans="1:57">
      <c r="A400" s="2392" t="s">
        <v>203</v>
      </c>
      <c r="B400" s="2393" t="n">
        <v>1</v>
      </c>
      <c r="C400" s="2413" t="s">
        <v>204</v>
      </c>
      <c r="D400" s="2425" t="n">
        <v>0.5</v>
      </c>
      <c r="E400" s="2425" t="n">
        <v>0.5</v>
      </c>
      <c r="F400" s="2425" t="n">
        <v>0.5</v>
      </c>
      <c r="G400" s="2425" t="n">
        <v>0.5</v>
      </c>
      <c r="H400" s="2425" t="n">
        <v>0.5</v>
      </c>
      <c r="I400" s="2425" t="n">
        <v>0.5</v>
      </c>
      <c r="J400" s="2425" t="n">
        <v>1.5</v>
      </c>
      <c r="K400" s="2425" t="n">
        <v>1.5</v>
      </c>
      <c r="L400" s="2425" t="n">
        <v>1.5</v>
      </c>
      <c r="M400" s="2425" t="n">
        <v>0.5</v>
      </c>
      <c r="N400" s="2425" t="n">
        <v>0.5</v>
      </c>
      <c r="O400" s="2425" t="n">
        <v>0.5</v>
      </c>
      <c r="P400" s="1219">
        <f>SUM(D400:O400)</f>
        <v/>
      </c>
    </row>
    <row customFormat="1" customHeight="1" ht="14.25" outlineLevel="1" r="401" s="2362" spans="1:57">
      <c r="B401" s="2395" t="n">
        <v>1</v>
      </c>
      <c r="C401" s="2399" t="s">
        <v>14</v>
      </c>
      <c r="D401" s="1395" t="n">
        <v>2</v>
      </c>
      <c r="E401" s="1395" t="n">
        <v>2</v>
      </c>
      <c r="F401" s="1395" t="n">
        <v>2</v>
      </c>
      <c r="G401" s="1395" t="n">
        <v>2</v>
      </c>
      <c r="H401" s="1395" t="n">
        <v>1</v>
      </c>
      <c r="I401" s="1395" t="n">
        <v>0</v>
      </c>
      <c r="J401" s="1395" t="n">
        <v>0</v>
      </c>
      <c r="K401" s="1395" t="n">
        <v>0</v>
      </c>
      <c r="L401" s="1395" t="n">
        <v>0</v>
      </c>
      <c r="M401" s="1395" t="n">
        <v>0</v>
      </c>
      <c r="N401" s="1395" t="n">
        <v>0</v>
      </c>
      <c r="O401" s="1395" t="n">
        <v>0</v>
      </c>
      <c r="P401" s="1221">
        <f>SUM(D401:O401)</f>
        <v/>
      </c>
    </row>
    <row customFormat="1" customHeight="1" ht="14.25" outlineLevel="1" r="402" s="2362" spans="1:57">
      <c r="B402" s="2395" t="n"/>
      <c r="C402" s="2399" t="s">
        <v>15</v>
      </c>
      <c r="D402" s="1297" t="n">
        <v>0</v>
      </c>
      <c r="E402" s="1297" t="n">
        <v>0</v>
      </c>
      <c r="F402" s="1297" t="n">
        <v>0</v>
      </c>
      <c r="G402" s="1395" t="n">
        <v>0</v>
      </c>
      <c r="H402" s="1395" t="n">
        <v>0</v>
      </c>
      <c r="I402" s="1395" t="n">
        <v>0</v>
      </c>
      <c r="J402" s="1395" t="n">
        <v>0</v>
      </c>
      <c r="K402" s="1395" t="n">
        <v>0</v>
      </c>
      <c r="L402" s="1395" t="n">
        <v>0</v>
      </c>
      <c r="M402" s="1395" t="n">
        <v>0</v>
      </c>
      <c r="N402" s="1395" t="n">
        <v>0</v>
      </c>
      <c r="O402" s="1395" t="n">
        <v>0</v>
      </c>
      <c r="P402" s="1221">
        <f>SUM(D402:O402)</f>
        <v/>
      </c>
    </row>
    <row customFormat="1" customHeight="1" ht="14.25" outlineLevel="1" r="403" s="2362" spans="1:57">
      <c r="B403" s="2395" t="n"/>
      <c r="C403" s="2399" t="s">
        <v>16</v>
      </c>
      <c r="D403" s="1395" t="n"/>
      <c r="E403" s="1395" t="n"/>
      <c r="F403" s="1395" t="n"/>
      <c r="G403" s="1395" t="n"/>
      <c r="H403" s="1395" t="n"/>
      <c r="I403" s="1395" t="n"/>
      <c r="J403" s="1395" t="n"/>
      <c r="K403" s="1395" t="n"/>
      <c r="L403" s="1395" t="n"/>
      <c r="M403" s="1395" t="n"/>
      <c r="N403" s="1395" t="n"/>
      <c r="O403" s="1395" t="n"/>
      <c r="P403" s="1221">
        <f>SUM(D403:O403)</f>
        <v/>
      </c>
    </row>
    <row customFormat="1" customHeight="1" ht="14.25" outlineLevel="1" r="404" s="2362" spans="1:57">
      <c r="B404" s="2395" t="n"/>
      <c r="C404" s="2399" t="s">
        <v>205</v>
      </c>
      <c r="D404" s="2414">
        <f>SUM(D400:D403)</f>
        <v/>
      </c>
      <c r="E404" s="2414">
        <f>SUM(E400:E403)</f>
        <v/>
      </c>
      <c r="F404" s="2414">
        <f>SUM(F400:F403)</f>
        <v/>
      </c>
      <c r="G404" s="2414">
        <f>SUM(G400:G403)</f>
        <v/>
      </c>
      <c r="H404" s="2414">
        <f>SUM(H400:H403)</f>
        <v/>
      </c>
      <c r="I404" s="2414">
        <f>SUM(I400:I403)</f>
        <v/>
      </c>
      <c r="J404" s="2414">
        <f>SUM(J400:J403)</f>
        <v/>
      </c>
      <c r="K404" s="2414">
        <f>SUM(K400:K403)</f>
        <v/>
      </c>
      <c r="L404" s="2414">
        <f>SUM(L400:L403)</f>
        <v/>
      </c>
      <c r="M404" s="2414">
        <f>SUM(M400:M403)</f>
        <v/>
      </c>
      <c r="N404" s="2414">
        <f>SUM(N400:N403)</f>
        <v/>
      </c>
      <c r="O404" s="2414">
        <f>SUM(O400:O403)</f>
        <v/>
      </c>
      <c r="P404" s="1221">
        <f>SUM(P400:P403)</f>
        <v/>
      </c>
    </row>
    <row customHeight="1" ht="14.25" outlineLevel="1" r="405" s="1843" spans="1:57">
      <c r="B405" s="2395" t="n"/>
      <c r="C405" s="2399" t="s">
        <v>206</v>
      </c>
      <c r="D405" s="2426" t="n">
        <v>0.5</v>
      </c>
      <c r="E405" s="2426" t="n">
        <v>0.5</v>
      </c>
      <c r="F405" s="2426" t="n">
        <v>0.5</v>
      </c>
      <c r="G405" s="2426" t="n">
        <v>0.5</v>
      </c>
      <c r="H405" s="2426" t="n">
        <v>0.5</v>
      </c>
      <c r="I405" s="2426" t="n">
        <v>0.5</v>
      </c>
      <c r="J405" s="2426" t="n">
        <v>0.5</v>
      </c>
      <c r="K405" s="2426" t="n">
        <v>0.5</v>
      </c>
      <c r="L405" s="2426" t="n">
        <v>0.5</v>
      </c>
      <c r="M405" s="2426" t="n">
        <v>0.5</v>
      </c>
      <c r="N405" s="2426" t="n">
        <v>0.5</v>
      </c>
      <c r="O405" s="2426" t="n">
        <v>0.5</v>
      </c>
      <c r="P405" s="1221">
        <f>SUM(D405:O405)</f>
        <v/>
      </c>
      <c r="R405" s="2362" t="n"/>
    </row>
    <row customHeight="1" ht="14.25" outlineLevel="1" r="406" s="1843" spans="1:57">
      <c r="B406" s="2398" t="n"/>
      <c r="C406" s="2400" t="s">
        <v>207</v>
      </c>
      <c r="D406" s="1233">
        <f>D404-D405</f>
        <v/>
      </c>
      <c r="E406" s="1233">
        <f>E404-E405</f>
        <v/>
      </c>
      <c r="F406" s="1233">
        <f>F404-F405</f>
        <v/>
      </c>
      <c r="G406" s="1233">
        <f>G404-G405</f>
        <v/>
      </c>
      <c r="H406" s="1233">
        <f>H404-H405</f>
        <v/>
      </c>
      <c r="I406" s="1233">
        <f>I404-I405</f>
        <v/>
      </c>
      <c r="J406" s="1233">
        <f>J404-J405</f>
        <v/>
      </c>
      <c r="K406" s="1233">
        <f>K404-K405</f>
        <v/>
      </c>
      <c r="L406" s="1233">
        <f>L404-L405</f>
        <v/>
      </c>
      <c r="M406" s="1233">
        <f>M404-M405</f>
        <v/>
      </c>
      <c r="N406" s="1233">
        <f>N404-N405</f>
        <v/>
      </c>
      <c r="O406" s="1233">
        <f>O404-O405</f>
        <v/>
      </c>
      <c r="P406" s="1221">
        <f>SUM(P402:P405)</f>
        <v/>
      </c>
      <c r="R406" s="2362" t="n"/>
    </row>
    <row customHeight="1" ht="14.25" outlineLevel="1" r="407" s="1843" spans="1:57">
      <c r="A407" s="2434" t="s">
        <v>157</v>
      </c>
      <c r="B407" s="2395" t="n"/>
      <c r="C407" s="2399" t="s">
        <v>208</v>
      </c>
      <c r="D407" s="1395" t="n"/>
      <c r="E407" s="1395" t="n"/>
      <c r="F407" s="1395" t="n"/>
      <c r="G407" s="1395" t="n"/>
      <c r="H407" s="1395" t="n"/>
      <c r="I407" s="1395" t="n"/>
      <c r="J407" s="1395" t="n"/>
      <c r="K407" s="1395" t="n"/>
      <c r="L407" s="1395" t="n"/>
      <c r="M407" s="1395" t="n"/>
      <c r="N407" s="1395" t="n"/>
      <c r="O407" s="1395" t="n"/>
      <c r="P407" s="1219">
        <f>SUM(D407:O407)</f>
        <v/>
      </c>
      <c r="R407" s="2362" t="n"/>
    </row>
    <row customHeight="1" ht="14.25" outlineLevel="1" r="408" s="1843" spans="1:57">
      <c r="B408" s="2395" t="n"/>
      <c r="C408" s="2399" t="s">
        <v>209</v>
      </c>
      <c r="D408" s="1395">
        <f>SUMPRODUCT(('FY18 SET'!$B$4:$B67=$A$382)*('FY18 SET'!$F$4:$F67="实际OS")*('FY18 SET'!G$4:G$67))</f>
        <v/>
      </c>
      <c r="E408" s="1395">
        <f>SUMPRODUCT(('FY18 SET'!$B$4:$B67=$A$382)*('FY18 SET'!$F$4:$F67="实际OS")*('FY18 SET'!H$4:H$67))</f>
        <v/>
      </c>
      <c r="F408" s="1395">
        <f>SUMPRODUCT(('FY18 SET'!$B$4:$B67=$A$382)*('FY18 SET'!$F$4:$F67="实际OS")*('FY18 SET'!I$4:I$67))</f>
        <v/>
      </c>
      <c r="G408" s="1395">
        <f>SUMPRODUCT(('FY18 SET'!$B$4:$B67=$A$382)*('FY18 SET'!$F$4:$F67="实际OS")*('FY18 SET'!J$4:J$67))</f>
        <v/>
      </c>
      <c r="H408" s="1395">
        <f>SUMPRODUCT(('FY18 SET'!$B$4:$B67=$A$382)*('FY18 SET'!$F$4:$F67="实际OS")*('FY18 SET'!K$4:K$67))</f>
        <v/>
      </c>
      <c r="I408" s="1395">
        <f>SUMPRODUCT(('FY18 SET'!$B$4:$B67=$A$382)*('FY18 SET'!$F$4:$F67="实际OS")*('FY18 SET'!L$4:L$67))</f>
        <v/>
      </c>
      <c r="J408" s="1395">
        <f>SUMPRODUCT(('FY18 SET'!$B$4:$B67=$A$382)*('FY18 SET'!$F$4:$F67="实际OS")*('FY18 SET'!N$4:N$67))</f>
        <v/>
      </c>
      <c r="K408" s="1395">
        <f>SUMPRODUCT(('FY18 SET'!$B$4:$B67=$A$382)*('FY18 SET'!$F$4:$F67="实际OS")*('FY18 SET'!O$4:O$67))</f>
        <v/>
      </c>
      <c r="L408" s="1395">
        <f>SUMPRODUCT(('FY18 SET'!$B$4:$B67=$A$382)*('FY18 SET'!$F$4:$F67="实际OS")*('FY18 SET'!P$4:P$67))</f>
        <v/>
      </c>
      <c r="M408" s="1395">
        <f>SUMPRODUCT(('FY18 SET'!$B$4:$B67=$A$382)*('FY18 SET'!$F$4:$F67="实际OS")*('FY18 SET'!Q$4:Q$67))</f>
        <v/>
      </c>
      <c r="N408" s="1395">
        <f>SUMPRODUCT(('FY18 SET'!$B$4:$B67=$A$382)*('FY18 SET'!$F$4:$F67="实际OS")*('FY18 SET'!R$4:R$67))</f>
        <v/>
      </c>
      <c r="O408" s="1395">
        <f>SUMPRODUCT(('FY18 SET'!$B$4:$B67=$A$382)*('FY18 SET'!$F$4:$F67="实际OS")*('FY18 SET'!S$4:S$67))</f>
        <v/>
      </c>
      <c r="P408" s="1219">
        <f>SUM(D408:O408)</f>
        <v/>
      </c>
    </row>
    <row customFormat="1" customHeight="1" ht="14.25" outlineLevel="1" r="409" s="2362" spans="1:57">
      <c r="B409" s="1324" t="n"/>
      <c r="C409" s="2399" t="s">
        <v>211</v>
      </c>
      <c r="D409" s="1232">
        <f>SUM(D408:D408)</f>
        <v/>
      </c>
      <c r="E409" s="1232">
        <f>SUM(E408:E408)</f>
        <v/>
      </c>
      <c r="F409" s="1232">
        <f>SUM(F408:F408)</f>
        <v/>
      </c>
      <c r="G409" s="1232">
        <f>SUM(G408:G408)</f>
        <v/>
      </c>
      <c r="H409" s="1232">
        <f>SUM(H408:H408)</f>
        <v/>
      </c>
      <c r="I409" s="1232">
        <f>SUM(I408:I408)</f>
        <v/>
      </c>
      <c r="J409" s="1232">
        <f>SUM(J408:J408)</f>
        <v/>
      </c>
      <c r="K409" s="1232">
        <f>SUM(K408:K408)</f>
        <v/>
      </c>
      <c r="L409" s="1232">
        <f>SUM(L408:L408)</f>
        <v/>
      </c>
      <c r="M409" s="1232">
        <f>SUM(M408:M408)</f>
        <v/>
      </c>
      <c r="N409" s="1232">
        <f>SUM(N408:N408)</f>
        <v/>
      </c>
      <c r="O409" s="1232">
        <f>SUM(O408:O408)</f>
        <v/>
      </c>
      <c r="P409" s="1221">
        <f>SUM(D409:O409)</f>
        <v/>
      </c>
    </row>
    <row customHeight="1" ht="14.25" outlineLevel="1" r="410" s="1843" spans="1:57">
      <c r="A410" s="2416" t="s">
        <v>219</v>
      </c>
      <c r="B410" s="2417" t="n"/>
      <c r="C410" s="2418" t="s">
        <v>220</v>
      </c>
      <c r="D410" s="1278">
        <f>SUM(D405,D407)</f>
        <v/>
      </c>
      <c r="E410" s="1270">
        <f>SUM(E405,E407)</f>
        <v/>
      </c>
      <c r="F410" s="1270">
        <f>SUM(F405,F407)</f>
        <v/>
      </c>
      <c r="G410" s="1270">
        <f>SUM(G405,G407)</f>
        <v/>
      </c>
      <c r="H410" s="1270">
        <f>SUM(H405,H407)</f>
        <v/>
      </c>
      <c r="I410" s="1270">
        <f>SUM(I405,I407)</f>
        <v/>
      </c>
      <c r="J410" s="1270">
        <f>SUM(J405,J407)</f>
        <v/>
      </c>
      <c r="K410" s="1270">
        <f>SUM(K405,K407)</f>
        <v/>
      </c>
      <c r="L410" s="1270">
        <f>SUM(L405,L407)</f>
        <v/>
      </c>
      <c r="M410" s="1270">
        <f>SUM(M405,M407)</f>
        <v/>
      </c>
      <c r="N410" s="1270">
        <f>SUM(N405,N407)</f>
        <v/>
      </c>
      <c r="O410" s="1271">
        <f>SUM(O405,O407)</f>
        <v/>
      </c>
      <c r="P410" s="2455" t="n"/>
      <c r="Q410" s="2362" t="n"/>
      <c r="R410" s="2362" t="n"/>
      <c r="S410" s="2362" t="n"/>
      <c r="T410" s="2362" t="n"/>
      <c r="U410" s="2362" t="n"/>
      <c r="V410" s="2362" t="n"/>
      <c r="W410" s="2362" t="n"/>
      <c r="X410" s="2362" t="n"/>
      <c r="Y410" s="2362" t="n"/>
      <c r="Z410" s="2362" t="n"/>
      <c r="AA410" s="2362" t="n"/>
      <c r="AB410" s="2362" t="n"/>
      <c r="AC410" s="2362" t="n"/>
      <c r="AD410" s="2362" t="n"/>
      <c r="AE410" s="2362" t="n"/>
    </row>
    <row customHeight="1" ht="14.25" outlineLevel="1" r="411" s="1843" spans="1:57">
      <c r="B411" s="2419" t="n"/>
      <c r="C411" s="2420" t="s">
        <v>221</v>
      </c>
      <c r="D411" s="1279">
        <f>SUM(D406,D408)</f>
        <v/>
      </c>
      <c r="E411" s="140">
        <f>SUM(E406,E408)</f>
        <v/>
      </c>
      <c r="F411" s="140">
        <f>SUM(F406,F408)</f>
        <v/>
      </c>
      <c r="G411" s="140">
        <f>SUM(G406,G408)</f>
        <v/>
      </c>
      <c r="H411" s="140">
        <f>SUM(H406,H408)</f>
        <v/>
      </c>
      <c r="I411" s="140">
        <f>SUM(I406,I408)</f>
        <v/>
      </c>
      <c r="J411" s="140">
        <f>SUM(J406,J408)</f>
        <v/>
      </c>
      <c r="K411" s="140">
        <f>SUM(K406,K408)</f>
        <v/>
      </c>
      <c r="L411" s="140">
        <f>SUM(L406,L408)</f>
        <v/>
      </c>
      <c r="M411" s="140">
        <f>SUM(M406,M408)</f>
        <v/>
      </c>
      <c r="N411" s="140">
        <f>SUM(N406,N408)</f>
        <v/>
      </c>
      <c r="O411" s="1273">
        <f>SUM(O406,O408)</f>
        <v/>
      </c>
      <c r="P411" s="2422" t="n"/>
      <c r="Q411" s="2362" t="n"/>
      <c r="R411" s="2362" t="n"/>
      <c r="S411" s="2362" t="n"/>
      <c r="T411" s="2362" t="n"/>
      <c r="U411" s="2362" t="n"/>
      <c r="V411" s="2362" t="n"/>
      <c r="W411" s="2362" t="n"/>
      <c r="X411" s="2362" t="n"/>
      <c r="Y411" s="2362" t="n"/>
      <c r="Z411" s="2362" t="n"/>
      <c r="AA411" s="2362" t="n"/>
      <c r="AB411" s="2362" t="n"/>
      <c r="AC411" s="2362" t="n"/>
      <c r="AD411" s="2362" t="n"/>
      <c r="AE411" s="2362" t="n"/>
    </row>
    <row customHeight="1" ht="14.25" outlineLevel="1" r="412" s="1843" spans="1:57">
      <c r="B412" s="1274" t="n"/>
      <c r="C412" s="2421" t="s">
        <v>222</v>
      </c>
      <c r="D412" s="1280">
        <f>SUM(D410:D411)</f>
        <v/>
      </c>
      <c r="E412" s="1276">
        <f>SUM(E410:E411)</f>
        <v/>
      </c>
      <c r="F412" s="1276">
        <f>SUM(F410:F411)</f>
        <v/>
      </c>
      <c r="G412" s="1276">
        <f>SUM(G410:G411)</f>
        <v/>
      </c>
      <c r="H412" s="1276">
        <f>SUM(H410:H411)</f>
        <v/>
      </c>
      <c r="I412" s="1276">
        <f>SUM(I410:I411)</f>
        <v/>
      </c>
      <c r="J412" s="1276">
        <f>SUM(J410:J411)</f>
        <v/>
      </c>
      <c r="K412" s="1276">
        <f>SUM(K410:K411)</f>
        <v/>
      </c>
      <c r="L412" s="1276">
        <f>SUM(L410:L411)</f>
        <v/>
      </c>
      <c r="M412" s="1276">
        <f>SUM(M410:M411)</f>
        <v/>
      </c>
      <c r="N412" s="1276">
        <f>SUM(N410:N411)</f>
        <v/>
      </c>
      <c r="O412" s="1277">
        <f>SUM(O410:O411)</f>
        <v/>
      </c>
      <c r="P412" s="2422" t="n"/>
      <c r="Q412" s="2362" t="n"/>
      <c r="R412" s="2362" t="n"/>
      <c r="S412" s="2362" t="n"/>
      <c r="T412" s="2362" t="n"/>
      <c r="U412" s="2362" t="n"/>
      <c r="V412" s="2362" t="n"/>
      <c r="W412" s="2362" t="n"/>
      <c r="X412" s="2362" t="n"/>
      <c r="Y412" s="2362" t="n"/>
      <c r="Z412" s="2362" t="n"/>
      <c r="AA412" s="2362" t="n"/>
      <c r="AB412" s="2362" t="n"/>
      <c r="AC412" s="2362" t="n"/>
      <c r="AD412" s="2362" t="n"/>
      <c r="AE412" s="2362" t="n"/>
    </row>
    <row customHeight="1" ht="14.25" outlineLevel="1" r="413" s="1843" spans="1:57">
      <c r="A413" s="2422" t="n"/>
      <c r="C413" s="2399" t="n"/>
      <c r="D413" s="2414" t="n"/>
      <c r="E413" s="2414" t="n"/>
      <c r="F413" s="2414" t="n"/>
      <c r="G413" s="2414" t="n"/>
      <c r="H413" s="2414" t="n"/>
      <c r="I413" s="2414" t="n"/>
      <c r="J413" s="2414" t="n"/>
      <c r="K413" s="2414" t="n"/>
      <c r="L413" s="2414" t="n"/>
      <c r="M413" s="2414" t="n"/>
      <c r="N413" s="2414" t="n"/>
      <c r="O413" s="2414" t="n"/>
      <c r="P413" s="2422" t="n"/>
      <c r="Q413" s="2362" t="n"/>
      <c r="R413" s="2362" t="n"/>
      <c r="S413" s="2362" t="n"/>
      <c r="T413" s="2362" t="n"/>
      <c r="U413" s="2362" t="n"/>
      <c r="V413" s="2362" t="n"/>
      <c r="W413" s="2362" t="n"/>
      <c r="X413" s="2362" t="n"/>
      <c r="Y413" s="2362" t="n"/>
      <c r="Z413" s="2362" t="n"/>
      <c r="AA413" s="2362" t="n"/>
      <c r="AB413" s="2362" t="n"/>
      <c r="AC413" s="2362" t="n"/>
      <c r="AD413" s="2362" t="n"/>
      <c r="AE413" s="2362" t="n"/>
    </row>
    <row customHeight="1" ht="14.25" outlineLevel="1" r="414" s="1843" spans="1:57">
      <c r="A414" s="2422" t="n"/>
      <c r="C414" s="2399" t="n"/>
      <c r="D414" s="2414" t="n"/>
      <c r="E414" s="2414" t="n"/>
      <c r="F414" s="2414" t="n"/>
      <c r="G414" s="2414" t="n"/>
      <c r="H414" s="2414" t="n"/>
      <c r="I414" s="2414" t="n"/>
      <c r="J414" s="2414" t="n"/>
      <c r="K414" s="2414" t="n"/>
      <c r="L414" s="2414" t="n"/>
      <c r="M414" s="2414" t="n"/>
      <c r="N414" s="2414" t="n"/>
      <c r="O414" s="2414" t="n"/>
      <c r="P414" s="2422" t="n"/>
      <c r="Q414" s="2362" t="n"/>
      <c r="R414" s="2362" t="n"/>
      <c r="S414" s="2362" t="n"/>
      <c r="T414" s="2362" t="n"/>
      <c r="U414" s="2362" t="n"/>
      <c r="V414" s="2362" t="n"/>
      <c r="W414" s="2362" t="n"/>
      <c r="X414" s="2362" t="n"/>
      <c r="Y414" s="2362" t="n"/>
      <c r="Z414" s="2362" t="n"/>
      <c r="AA414" s="2362" t="n"/>
      <c r="AB414" s="2362" t="n"/>
      <c r="AC414" s="2362" t="n"/>
      <c r="AD414" s="2362" t="n"/>
      <c r="AE414" s="2362" t="n"/>
    </row>
    <row customHeight="1" ht="15.75" outlineLevel="1" r="415" s="1843" spans="1:57">
      <c r="A415" s="2370" t="n"/>
      <c r="B415" s="80" t="n"/>
      <c r="C415" s="2371" t="n"/>
      <c r="D415" s="2372" t="n">
        <v>43191</v>
      </c>
      <c r="E415" s="2372" t="n">
        <v>43221</v>
      </c>
      <c r="F415" s="2372" t="n">
        <v>43252</v>
      </c>
      <c r="G415" s="2372" t="n">
        <v>43282</v>
      </c>
      <c r="H415" s="2372" t="n">
        <v>43313</v>
      </c>
      <c r="I415" s="2372" t="n">
        <v>43344</v>
      </c>
      <c r="J415" s="2372" t="n">
        <v>43374</v>
      </c>
      <c r="K415" s="2372" t="n">
        <v>43405</v>
      </c>
      <c r="L415" s="2372" t="n">
        <v>43435</v>
      </c>
      <c r="M415" s="2372" t="n">
        <v>43466</v>
      </c>
      <c r="N415" s="2372" t="n">
        <v>43497</v>
      </c>
      <c r="O415" s="2372" t="n">
        <v>43525</v>
      </c>
      <c r="P415" s="2373" t="s">
        <v>55</v>
      </c>
      <c r="R415" s="2362" t="n"/>
    </row>
    <row customHeight="1" ht="15.75" outlineLevel="1" r="416" s="1843" spans="1:57">
      <c r="A416" s="2375" t="s">
        <v>115</v>
      </c>
      <c r="B416" s="64" t="n"/>
      <c r="C416" s="2376" t="s">
        <v>187</v>
      </c>
      <c r="D416" s="1381">
        <f>D$622*D435+D$623*D436+D$624*D437+D$625*D438</f>
        <v/>
      </c>
      <c r="E416" s="1381">
        <f>E$622*E435+E$623*E436+E$624*E437+E$625*E438</f>
        <v/>
      </c>
      <c r="F416" s="1381">
        <f>F$622*F435+F$623*F436+F$624*F437+F$625*F438</f>
        <v/>
      </c>
      <c r="G416" s="1381">
        <f>G$622*G435+G$623*G436+G$624*G437+G$625*G438</f>
        <v/>
      </c>
      <c r="H416" s="1381">
        <f>H$622*H435+H$623*H436+H$624*H437+H$625*H438</f>
        <v/>
      </c>
      <c r="I416" s="1381">
        <f>I$622*I435+I$623*I436+I$624*I437+I$625*I438</f>
        <v/>
      </c>
      <c r="J416" s="1381">
        <f>J$622*J435+J$623*J436+J$624*J437+J$625*J438</f>
        <v/>
      </c>
      <c r="K416" s="1381">
        <f>K$622*K435+K$623*K436+K$624*K437+K$625*K438</f>
        <v/>
      </c>
      <c r="L416" s="1381">
        <f>L$622*L435+L$623*L436+L$624*L437+L$625*L438</f>
        <v/>
      </c>
      <c r="M416" s="1381">
        <f>M$622*M435+M$623*M436+M$624*M437+M$625*M438</f>
        <v/>
      </c>
      <c r="N416" s="1381">
        <f>N$622*N435+N$623*N436+N$624*N437+N$625*N438</f>
        <v/>
      </c>
      <c r="O416" s="1381">
        <f>O$622*O435+O$623*O436+O$624*O437+O$625*O438</f>
        <v/>
      </c>
      <c r="P416" s="49">
        <f>SUM(D416:O416)</f>
        <v/>
      </c>
      <c r="R416" s="2362" t="n"/>
    </row>
    <row customHeight="1" ht="14.25" outlineLevel="1" r="417" s="1843" spans="1:57">
      <c r="A417" s="2456" t="n"/>
      <c r="B417" s="66" t="n"/>
      <c r="C417" s="2379" t="s">
        <v>189</v>
      </c>
      <c r="D417" s="1380">
        <f>D348*D$439/D$369</f>
        <v/>
      </c>
      <c r="E417" s="1380">
        <f>E348*E$439/E$369</f>
        <v/>
      </c>
      <c r="F417" s="1380">
        <f>F348*F$439/F$369</f>
        <v/>
      </c>
      <c r="G417" s="1380">
        <f>G348*G$439/G$369</f>
        <v/>
      </c>
      <c r="H417" s="1380">
        <f>H348*H$439/H$369</f>
        <v/>
      </c>
      <c r="I417" s="1380">
        <f>I348*I$439/I$369</f>
        <v/>
      </c>
      <c r="J417" s="1380">
        <f>J348*J$439/J$369</f>
        <v/>
      </c>
      <c r="K417" s="1380">
        <f>K348*K$439/K$369</f>
        <v/>
      </c>
      <c r="L417" s="1380">
        <f>L348*L$439/L$369</f>
        <v/>
      </c>
      <c r="M417" s="1380">
        <f>M348*M$439/M$369</f>
        <v/>
      </c>
      <c r="N417" s="1380">
        <f>N348*N$439/N$369</f>
        <v/>
      </c>
      <c r="O417" s="1380">
        <f>O348*O$439/O$369</f>
        <v/>
      </c>
      <c r="P417" s="46">
        <f>SUM(D417:O417)</f>
        <v/>
      </c>
      <c r="R417" s="2362" t="n"/>
    </row>
    <row customHeight="1" ht="15.75" outlineLevel="1" r="418" s="1843" spans="1:57">
      <c r="A418" s="2456" t="s">
        <v>114</v>
      </c>
      <c r="B418" s="66" t="n"/>
      <c r="C418" s="2379" t="s">
        <v>212</v>
      </c>
      <c r="D418" s="1380">
        <f>D349*D$439/D$369</f>
        <v/>
      </c>
      <c r="E418" s="1380">
        <f>E349*E$439/E$369</f>
        <v/>
      </c>
      <c r="F418" s="1380">
        <f>F349*F$439/F$369</f>
        <v/>
      </c>
      <c r="G418" s="1380">
        <f>G349*G$439/G$369</f>
        <v/>
      </c>
      <c r="H418" s="1380">
        <f>H349*H$439/H$369</f>
        <v/>
      </c>
      <c r="I418" s="1380">
        <f>I349*I$439/I$369</f>
        <v/>
      </c>
      <c r="J418" s="1380">
        <f>J349*J$439/J$369</f>
        <v/>
      </c>
      <c r="K418" s="1380">
        <f>K349*K$439/K$369</f>
        <v/>
      </c>
      <c r="L418" s="1380">
        <f>L349*L$439/L$369</f>
        <v/>
      </c>
      <c r="M418" s="1380">
        <f>M349*M$439/M$369</f>
        <v/>
      </c>
      <c r="N418" s="1380">
        <f>N349*N$439/N$369</f>
        <v/>
      </c>
      <c r="O418" s="1380">
        <f>O349*O$439/O$369</f>
        <v/>
      </c>
      <c r="P418" s="46">
        <f>SUM(D418:O418)</f>
        <v/>
      </c>
      <c r="R418" s="2362" t="n"/>
    </row>
    <row customHeight="1" ht="14.25" outlineLevel="1" r="419" s="1843" spans="1:57">
      <c r="A419" s="2456" t="n"/>
      <c r="B419" s="66" t="n"/>
      <c r="C419" s="2379" t="s">
        <v>191</v>
      </c>
      <c r="D419" s="1380">
        <f>D350*D$439/D$369</f>
        <v/>
      </c>
      <c r="E419" s="1380">
        <f>E350*E$439/E$369</f>
        <v/>
      </c>
      <c r="F419" s="1380">
        <f>F350*F$439/F$369</f>
        <v/>
      </c>
      <c r="G419" s="1380">
        <f>G350*G$439/G$369</f>
        <v/>
      </c>
      <c r="H419" s="1380">
        <f>H350*H$439/H$369</f>
        <v/>
      </c>
      <c r="I419" s="1380">
        <f>I350*I$439/I$369</f>
        <v/>
      </c>
      <c r="J419" s="1380">
        <f>J350*J$439/J$369</f>
        <v/>
      </c>
      <c r="K419" s="1380">
        <f>K350*K$439/K$369</f>
        <v/>
      </c>
      <c r="L419" s="1380">
        <f>L350*L$439/L$369</f>
        <v/>
      </c>
      <c r="M419" s="1380">
        <f>M350*M$439/M$369</f>
        <v/>
      </c>
      <c r="N419" s="1380">
        <f>N350*N$439/N$369</f>
        <v/>
      </c>
      <c r="O419" s="1380">
        <f>O350*O$439/O$369</f>
        <v/>
      </c>
      <c r="P419" s="46">
        <f>SUM(D419:O419)</f>
        <v/>
      </c>
      <c r="R419" s="2362" t="n"/>
    </row>
    <row customHeight="1" ht="14.25" outlineLevel="1" r="420" s="1843" spans="1:57">
      <c r="A420" s="2456" t="n"/>
      <c r="B420" s="66" t="n"/>
      <c r="C420" s="2379" t="s">
        <v>192</v>
      </c>
      <c r="D420" s="1380">
        <f>D351*D$439/D$369</f>
        <v/>
      </c>
      <c r="E420" s="1380">
        <f>E351*E$439/E$369</f>
        <v/>
      </c>
      <c r="F420" s="1380">
        <f>F351*F$439/F$369</f>
        <v/>
      </c>
      <c r="G420" s="1380">
        <f>G351*G$439/G$369</f>
        <v/>
      </c>
      <c r="H420" s="1380">
        <f>H351*H$439/H$369</f>
        <v/>
      </c>
      <c r="I420" s="1380">
        <f>I351*I$439/I$369</f>
        <v/>
      </c>
      <c r="J420" s="1380">
        <f>J351*J$439/J$369</f>
        <v/>
      </c>
      <c r="K420" s="1380">
        <f>K351*K$439/K$369</f>
        <v/>
      </c>
      <c r="L420" s="1380">
        <f>L351*L$439/L$369</f>
        <v/>
      </c>
      <c r="M420" s="1380">
        <f>M351*M$439/M$369</f>
        <v/>
      </c>
      <c r="N420" s="1380">
        <f>N351*N$439/N$369</f>
        <v/>
      </c>
      <c r="O420" s="1380">
        <f>O351*O$439/O$369</f>
        <v/>
      </c>
      <c r="P420" s="46">
        <f>SUM(D420:O420)</f>
        <v/>
      </c>
      <c r="R420" s="2362" t="n"/>
    </row>
    <row customHeight="1" ht="14.25" outlineLevel="1" r="421" s="1843" spans="1:57">
      <c r="A421" s="2381" t="n"/>
      <c r="B421" s="66" t="n"/>
      <c r="C421" s="2379" t="s">
        <v>213</v>
      </c>
      <c r="D421" s="1380">
        <f>D352*D$439/D$369+1704.87</f>
        <v/>
      </c>
      <c r="E421" s="1380">
        <f>E352*E$439/E$369</f>
        <v/>
      </c>
      <c r="F421" s="1380">
        <f>F352*F$439/F$369</f>
        <v/>
      </c>
      <c r="G421" s="1380">
        <f>G352*G$439/G$369</f>
        <v/>
      </c>
      <c r="H421" s="1380">
        <f>H352*H$439/H$369</f>
        <v/>
      </c>
      <c r="I421" s="1380">
        <f>I352*I$439/I$369</f>
        <v/>
      </c>
      <c r="J421" s="1380">
        <f>J352*J$439/J$369</f>
        <v/>
      </c>
      <c r="K421" s="1380">
        <f>K352*K$439/K$369</f>
        <v/>
      </c>
      <c r="L421" s="1380">
        <f>L352*L$439/L$369</f>
        <v/>
      </c>
      <c r="M421" s="1380">
        <f>M352*M$439/M$369</f>
        <v/>
      </c>
      <c r="N421" s="1380">
        <f>N352*N$439/N$369</f>
        <v/>
      </c>
      <c r="O421" s="1380">
        <f>O352*O$439/O$369</f>
        <v/>
      </c>
      <c r="P421" s="47">
        <f>SUM(D421:O421)</f>
        <v/>
      </c>
      <c r="R421" s="2362" t="n"/>
    </row>
    <row customHeight="1" ht="14.25" outlineLevel="1" r="422" s="1843" spans="1:57">
      <c r="A422" s="2381" t="n"/>
      <c r="B422" s="123" t="n"/>
      <c r="C422" s="2382" t="s">
        <v>195</v>
      </c>
      <c r="D422" s="1380">
        <f>D353*D$439/D$369</f>
        <v/>
      </c>
      <c r="E422" s="1380">
        <f>E353*E$439/E$369</f>
        <v/>
      </c>
      <c r="F422" s="1380">
        <f>F353*F$439/F$369</f>
        <v/>
      </c>
      <c r="G422" s="1380">
        <f>G353*G$439/G$369</f>
        <v/>
      </c>
      <c r="H422" s="1380">
        <f>H353*H$439/H$369</f>
        <v/>
      </c>
      <c r="I422" s="1380">
        <f>I353*I$439/I$369</f>
        <v/>
      </c>
      <c r="J422" s="1380">
        <f>J353*J$439/J$369</f>
        <v/>
      </c>
      <c r="K422" s="1380">
        <f>K353*K$439/K$369</f>
        <v/>
      </c>
      <c r="L422" s="1380">
        <f>L353*L$439/L$369</f>
        <v/>
      </c>
      <c r="M422" s="1380">
        <f>M353*M$439/M$369</f>
        <v/>
      </c>
      <c r="N422" s="1380">
        <f>N353*N$439/N$369</f>
        <v/>
      </c>
      <c r="O422" s="1380">
        <f>O353*O$439/O$369</f>
        <v/>
      </c>
      <c r="P422" s="46">
        <f>SUM(D422:O422)</f>
        <v/>
      </c>
      <c r="R422" s="2362" t="n"/>
    </row>
    <row customHeight="1" ht="14.25" outlineLevel="1" r="423" s="1843" spans="1:57">
      <c r="A423" s="2381" t="n"/>
      <c r="B423" s="70" t="s">
        <v>214</v>
      </c>
      <c r="C423" s="2406" t="n"/>
      <c r="D423" s="73">
        <f>SUM(D416:D422)</f>
        <v/>
      </c>
      <c r="E423" s="73">
        <f>SUM(E416:E422)</f>
        <v/>
      </c>
      <c r="F423" s="73">
        <f>SUM(F416:F422)</f>
        <v/>
      </c>
      <c r="G423" s="73">
        <f>SUM(G416:G422)</f>
        <v/>
      </c>
      <c r="H423" s="73">
        <f>SUM(H416:H422)</f>
        <v/>
      </c>
      <c r="I423" s="73">
        <f>SUM(I416:I422)</f>
        <v/>
      </c>
      <c r="J423" s="73">
        <f>SUM(J416:J422)</f>
        <v/>
      </c>
      <c r="K423" s="73">
        <f>SUM(K416:K422)</f>
        <v/>
      </c>
      <c r="L423" s="73">
        <f>SUM(L416:L422)</f>
        <v/>
      </c>
      <c r="M423" s="73">
        <f>SUM(M416:M422)</f>
        <v/>
      </c>
      <c r="N423" s="73">
        <f>SUM(N416:N422)</f>
        <v/>
      </c>
      <c r="O423" s="73">
        <f>SUM(O416:O422)</f>
        <v/>
      </c>
      <c r="P423" s="76">
        <f>SUM(D423:O423)</f>
        <v/>
      </c>
      <c r="R423" s="2362" t="n"/>
    </row>
    <row customHeight="1" ht="14.25" outlineLevel="1" r="424" s="1843" spans="1:57">
      <c r="A424" s="2407" t="n"/>
      <c r="B424" s="123" t="n"/>
      <c r="C424" s="2386" t="s">
        <v>161</v>
      </c>
      <c r="D424" s="962">
        <f>D355*D$447/D$377</f>
        <v/>
      </c>
      <c r="E424" s="962">
        <f>E355*E$447/E$377</f>
        <v/>
      </c>
      <c r="F424" s="962">
        <f>F355*F$447/F$377</f>
        <v/>
      </c>
      <c r="G424" s="962">
        <f>G355*G$447/G$377</f>
        <v/>
      </c>
      <c r="H424" s="962">
        <f>H355*H$447/H$377</f>
        <v/>
      </c>
      <c r="I424" s="962">
        <f>I355*I$447/I$377</f>
        <v/>
      </c>
      <c r="J424" s="962">
        <f>J355*J$447/J$377</f>
        <v/>
      </c>
      <c r="K424" s="962">
        <f>K355*K$447/K$377</f>
        <v/>
      </c>
      <c r="L424" s="962">
        <f>L355*L$447/L$377</f>
        <v/>
      </c>
      <c r="M424" s="962">
        <f>M355*M$447/M$377</f>
        <v/>
      </c>
      <c r="N424" s="962">
        <f>N355*N$447/N$377</f>
        <v/>
      </c>
      <c r="O424" s="962">
        <f>O355*O$447/O$377</f>
        <v/>
      </c>
      <c r="P424" s="85">
        <f>SUM(D424:O424)</f>
        <v/>
      </c>
      <c r="Q424" s="2362" t="n"/>
      <c r="R424" s="2362" t="n"/>
      <c r="S424" s="2362" t="n"/>
      <c r="T424" s="2362" t="n"/>
      <c r="U424" s="2362" t="n"/>
      <c r="V424" s="2362" t="n"/>
      <c r="W424" s="2362" t="n"/>
      <c r="X424" s="2362" t="n"/>
      <c r="Y424" s="2362" t="n"/>
      <c r="Z424" s="2362" t="n"/>
      <c r="AA424" s="2362" t="n"/>
      <c r="AB424" s="2362" t="n"/>
      <c r="AC424" s="2362" t="n"/>
      <c r="AD424" s="2362" t="n"/>
      <c r="AE424" s="2362" t="n"/>
    </row>
    <row customHeight="1" ht="14.25" outlineLevel="1" r="425" s="1843" spans="1:57">
      <c r="A425" s="2407" t="n"/>
      <c r="B425" s="123" t="n"/>
      <c r="C425" s="2385" t="s">
        <v>215</v>
      </c>
      <c r="D425" s="962">
        <f>D356*D$439/D$369</f>
        <v/>
      </c>
      <c r="E425" s="962">
        <f>E356*E$439/E$369</f>
        <v/>
      </c>
      <c r="F425" s="962">
        <f>F356*F$439/F$369</f>
        <v/>
      </c>
      <c r="G425" s="962">
        <f>G356*G$439/G$369</f>
        <v/>
      </c>
      <c r="H425" s="962">
        <f>H356*H$439/H$369</f>
        <v/>
      </c>
      <c r="I425" s="962">
        <f>I356*I$439/I$369</f>
        <v/>
      </c>
      <c r="J425" s="962">
        <f>J356*J$439/J$369</f>
        <v/>
      </c>
      <c r="K425" s="962">
        <f>K356*K$439/K$369</f>
        <v/>
      </c>
      <c r="L425" s="962">
        <f>L356*L$439/L$369</f>
        <v/>
      </c>
      <c r="M425" s="962">
        <f>M356*M$439/M$369</f>
        <v/>
      </c>
      <c r="N425" s="962">
        <f>N356*N$439/N$369</f>
        <v/>
      </c>
      <c r="O425" s="962">
        <f>O356*O$439/O$369</f>
        <v/>
      </c>
      <c r="P425" s="85">
        <f>SUM(D425:O425)</f>
        <v/>
      </c>
      <c r="Q425" s="2362" t="n"/>
      <c r="R425" s="2362" t="n"/>
      <c r="S425" s="2362" t="n"/>
      <c r="T425" s="2362" t="n"/>
      <c r="U425" s="2362" t="n"/>
      <c r="V425" s="2362" t="n"/>
      <c r="W425" s="2362" t="n"/>
      <c r="X425" s="2362" t="n"/>
      <c r="Y425" s="2362" t="n"/>
      <c r="Z425" s="2362" t="n"/>
      <c r="AA425" s="2362" t="n"/>
      <c r="AB425" s="2362" t="n"/>
      <c r="AC425" s="2362" t="n"/>
      <c r="AD425" s="2362" t="n"/>
      <c r="AE425" s="2362" t="n"/>
    </row>
    <row customHeight="1" ht="14.25" outlineLevel="1" r="426" s="1843" spans="1:57">
      <c r="A426" s="2407" t="n"/>
      <c r="B426" s="1171" t="n"/>
      <c r="C426" s="2386" t="s">
        <v>197</v>
      </c>
      <c r="D426" s="962">
        <f>D357*D$445/D$375</f>
        <v/>
      </c>
      <c r="E426" s="962">
        <f>E357*E$445/E$375</f>
        <v/>
      </c>
      <c r="F426" s="962">
        <f>F357*F$445/F$375</f>
        <v/>
      </c>
      <c r="G426" s="962">
        <f>G357*G$445/G$375</f>
        <v/>
      </c>
      <c r="H426" s="962">
        <f>H357*H$445/H$375</f>
        <v/>
      </c>
      <c r="I426" s="962">
        <f>I357*I$445/I$375</f>
        <v/>
      </c>
      <c r="J426" s="962">
        <f>J357*J$445/J$375</f>
        <v/>
      </c>
      <c r="K426" s="962">
        <f>K357*K$445/K$375</f>
        <v/>
      </c>
      <c r="L426" s="962">
        <f>L357*L$445/L$375</f>
        <v/>
      </c>
      <c r="M426" s="962">
        <f>M357*M$445/M$375</f>
        <v/>
      </c>
      <c r="N426" s="962">
        <f>N357*N$445/N$375</f>
        <v/>
      </c>
      <c r="O426" s="962">
        <f>O357*O$445/O$375</f>
        <v/>
      </c>
      <c r="P426" s="85">
        <f>SUM(D426:O426)</f>
        <v/>
      </c>
      <c r="Q426" s="2362" t="n"/>
      <c r="R426" s="2362" t="n"/>
      <c r="S426" s="2362" t="n"/>
      <c r="T426" s="2362" t="n"/>
      <c r="U426" s="2362" t="n"/>
      <c r="V426" s="2362" t="n"/>
      <c r="W426" s="2362" t="n"/>
      <c r="X426" s="2362" t="n"/>
      <c r="Y426" s="2362" t="n"/>
      <c r="Z426" s="2362" t="n"/>
      <c r="AA426" s="2362" t="n"/>
      <c r="AB426" s="2362" t="n"/>
      <c r="AC426" s="2362" t="n"/>
      <c r="AD426" s="2362" t="n"/>
      <c r="AE426" s="2362" t="n"/>
    </row>
    <row customHeight="1" ht="14.25" outlineLevel="1" r="427" s="1843" spans="1:57">
      <c r="A427" s="2407" t="n"/>
      <c r="B427" s="123" t="n"/>
      <c r="C427" s="2386" t="s">
        <v>198</v>
      </c>
      <c r="D427" s="962">
        <f>D358*D$446/D$376</f>
        <v/>
      </c>
      <c r="E427" s="962">
        <f>E358*E$446/E$376</f>
        <v/>
      </c>
      <c r="F427" s="962">
        <f>F358*F$446/F$376</f>
        <v/>
      </c>
      <c r="G427" s="962">
        <f>G358*G$446/G$376</f>
        <v/>
      </c>
      <c r="H427" s="962">
        <f>H358*H$446/H$376</f>
        <v/>
      </c>
      <c r="I427" s="962">
        <f>I358*I$446/I$376</f>
        <v/>
      </c>
      <c r="J427" s="962">
        <f>J358*J$446/J$376</f>
        <v/>
      </c>
      <c r="K427" s="962">
        <f>K358*K$446/K$376</f>
        <v/>
      </c>
      <c r="L427" s="962">
        <f>L358*L$446/L$376</f>
        <v/>
      </c>
      <c r="M427" s="962">
        <f>M358*M$446/M$376</f>
        <v/>
      </c>
      <c r="N427" s="962">
        <f>N358*N$446/N$376</f>
        <v/>
      </c>
      <c r="O427" s="962">
        <f>O358*O$446/O$376</f>
        <v/>
      </c>
      <c r="P427" s="85">
        <f>SUM(D427:O427)</f>
        <v/>
      </c>
      <c r="Q427" s="2362" t="n"/>
      <c r="R427" s="2362" t="n"/>
      <c r="S427" s="2362" t="n"/>
      <c r="T427" s="2362" t="n"/>
      <c r="U427" s="2362" t="n"/>
      <c r="V427" s="2362" t="n"/>
      <c r="W427" s="2362" t="n"/>
      <c r="X427" s="2362" t="n"/>
      <c r="Y427" s="2362" t="n"/>
      <c r="Z427" s="2362" t="n"/>
      <c r="AA427" s="2362" t="n"/>
      <c r="AB427" s="2362" t="n"/>
      <c r="AC427" s="2362" t="n"/>
      <c r="AD427" s="2362" t="n"/>
      <c r="AE427" s="2362" t="n"/>
    </row>
    <row customFormat="1" customHeight="1" ht="14.25" outlineLevel="1" r="428" s="2437" spans="1:57">
      <c r="A428" s="2407" t="n"/>
      <c r="B428" s="123" t="n"/>
      <c r="C428" s="2385" t="s">
        <v>199</v>
      </c>
      <c r="D428" s="962">
        <f>D359*D$445/D$375</f>
        <v/>
      </c>
      <c r="E428" s="962">
        <f>E359*E$445/E$375</f>
        <v/>
      </c>
      <c r="F428" s="962">
        <f>F359*F$445/F$375</f>
        <v/>
      </c>
      <c r="G428" s="962">
        <f>G359*G$445/G$375</f>
        <v/>
      </c>
      <c r="H428" s="962">
        <f>H359*H$445/H$375</f>
        <v/>
      </c>
      <c r="I428" s="962">
        <f>I359*I$445/I$375</f>
        <v/>
      </c>
      <c r="J428" s="962">
        <f>J359*J$445/J$375</f>
        <v/>
      </c>
      <c r="K428" s="962">
        <f>K359*K$445/K$375</f>
        <v/>
      </c>
      <c r="L428" s="962">
        <f>L359*L$445/L$375</f>
        <v/>
      </c>
      <c r="M428" s="962">
        <f>M359*M$445/M$375</f>
        <v/>
      </c>
      <c r="N428" s="962">
        <f>N359*N$445/N$375</f>
        <v/>
      </c>
      <c r="O428" s="962">
        <f>O359*O$445/O$375</f>
        <v/>
      </c>
      <c r="P428" s="85">
        <f>SUM(D428:O428)</f>
        <v/>
      </c>
      <c r="Q428" s="2362" t="n"/>
      <c r="R428" s="2362" t="n"/>
      <c r="S428" s="2362" t="n"/>
      <c r="T428" s="2362" t="n"/>
      <c r="U428" s="2362" t="n"/>
      <c r="V428" s="2362" t="n"/>
      <c r="W428" s="2362" t="n"/>
      <c r="X428" s="2362" t="n"/>
      <c r="Y428" s="2362" t="n"/>
      <c r="Z428" s="2362" t="n"/>
      <c r="AA428" s="2362" t="n"/>
      <c r="AB428" s="2362" t="n"/>
      <c r="AC428" s="2362" t="n"/>
      <c r="AD428" s="2362" t="n"/>
      <c r="AE428" s="2362" t="n"/>
      <c r="AF428" s="2362" t="n"/>
      <c r="AG428" s="2362" t="n"/>
      <c r="AH428" s="2362" t="n"/>
      <c r="AI428" s="2362" t="n"/>
      <c r="AJ428" s="2362" t="n"/>
      <c r="AK428" s="2362" t="n"/>
      <c r="AL428" s="2362" t="n"/>
      <c r="AM428" s="2362" t="n"/>
      <c r="AN428" s="2362" t="n"/>
      <c r="AO428" s="2362" t="n"/>
      <c r="AP428" s="2362" t="n"/>
      <c r="AQ428" s="2362" t="n"/>
      <c r="AR428" s="2362" t="n"/>
      <c r="AS428" s="2362" t="n"/>
      <c r="AT428" s="2362" t="n"/>
      <c r="AU428" s="2362" t="n"/>
      <c r="AV428" s="2362" t="n"/>
      <c r="AW428" s="2362" t="n"/>
      <c r="AX428" s="2362" t="n"/>
      <c r="AY428" s="2362" t="n"/>
      <c r="AZ428" s="2362" t="n"/>
      <c r="BA428" s="2362" t="n"/>
      <c r="BB428" s="2362" t="n"/>
      <c r="BC428" s="2362" t="n"/>
      <c r="BD428" s="2362" t="n"/>
      <c r="BE428" s="2362" t="n"/>
    </row>
    <row customFormat="1" customHeight="1" ht="14.25" outlineLevel="1" r="429" s="2437" spans="1:57">
      <c r="A429" s="2407" t="n"/>
      <c r="B429" s="123" t="n"/>
      <c r="C429" s="2385" t="s">
        <v>200</v>
      </c>
      <c r="D429" s="962">
        <f>D360*D$446/D$376</f>
        <v/>
      </c>
      <c r="E429" s="962">
        <f>E360*E$446/E$376</f>
        <v/>
      </c>
      <c r="F429" s="962">
        <f>F360*F$446/F$376</f>
        <v/>
      </c>
      <c r="G429" s="962">
        <f>G360*G$446/G$376</f>
        <v/>
      </c>
      <c r="H429" s="962">
        <f>H360*H$446/H$376</f>
        <v/>
      </c>
      <c r="I429" s="962">
        <f>I360*I$446/I$376</f>
        <v/>
      </c>
      <c r="J429" s="962">
        <f>J360*J$446/J$376</f>
        <v/>
      </c>
      <c r="K429" s="962">
        <f>K360*K$446/K$376</f>
        <v/>
      </c>
      <c r="L429" s="962">
        <f>L360*L$446/L$376</f>
        <v/>
      </c>
      <c r="M429" s="962">
        <f>M360*M$446/M$376</f>
        <v/>
      </c>
      <c r="N429" s="962">
        <f>N360*N$446/N$376</f>
        <v/>
      </c>
      <c r="O429" s="962">
        <f>O360*O$446/O$376</f>
        <v/>
      </c>
      <c r="P429" s="85">
        <f>SUM(D429:O429)</f>
        <v/>
      </c>
      <c r="Q429" s="2362" t="n"/>
      <c r="R429" s="2362" t="n"/>
      <c r="S429" s="2362" t="n"/>
      <c r="T429" s="2362" t="n"/>
      <c r="U429" s="2362" t="n"/>
      <c r="V429" s="2362" t="n"/>
      <c r="W429" s="2362" t="n"/>
      <c r="X429" s="2362" t="n"/>
      <c r="Y429" s="2362" t="n"/>
      <c r="Z429" s="2362" t="n"/>
      <c r="AA429" s="2362" t="n"/>
      <c r="AB429" s="2362" t="n"/>
      <c r="AC429" s="2362" t="n"/>
      <c r="AD429" s="2362" t="n"/>
      <c r="AE429" s="2362" t="n"/>
      <c r="AF429" s="2362" t="n"/>
      <c r="AG429" s="2362" t="n"/>
      <c r="AH429" s="2362" t="n"/>
      <c r="AI429" s="2362" t="n"/>
      <c r="AJ429" s="2362" t="n"/>
      <c r="AK429" s="2362" t="n"/>
      <c r="AL429" s="2362" t="n"/>
      <c r="AM429" s="2362" t="n"/>
      <c r="AN429" s="2362" t="n"/>
      <c r="AO429" s="2362" t="n"/>
      <c r="AP429" s="2362" t="n"/>
      <c r="AQ429" s="2362" t="n"/>
      <c r="AR429" s="2362" t="n"/>
      <c r="AS429" s="2362" t="n"/>
      <c r="AT429" s="2362" t="n"/>
      <c r="AU429" s="2362" t="n"/>
      <c r="AV429" s="2362" t="n"/>
      <c r="AW429" s="2362" t="n"/>
      <c r="AX429" s="2362" t="n"/>
      <c r="AY429" s="2362" t="n"/>
      <c r="AZ429" s="2362" t="n"/>
      <c r="BA429" s="2362" t="n"/>
      <c r="BB429" s="2362" t="n"/>
      <c r="BC429" s="2362" t="n"/>
      <c r="BD429" s="2362" t="n"/>
      <c r="BE429" s="2362" t="n"/>
    </row>
    <row customFormat="1" customHeight="1" ht="14.25" outlineLevel="1" r="430" s="2369" spans="1:57">
      <c r="A430" s="2408" t="n"/>
      <c r="B430" s="71" t="n"/>
      <c r="C430" s="2385" t="s">
        <v>201</v>
      </c>
      <c r="D430" s="962">
        <f>D361*D$447/D$377</f>
        <v/>
      </c>
      <c r="E430" s="962">
        <f>E361*E$447/E$377</f>
        <v/>
      </c>
      <c r="F430" s="962">
        <f>F361*F$447/F$377</f>
        <v/>
      </c>
      <c r="G430" s="962">
        <f>G361*G$447/G$377</f>
        <v/>
      </c>
      <c r="H430" s="962">
        <f>H361*H$447/H$377</f>
        <v/>
      </c>
      <c r="I430" s="962">
        <f>I361*I$447/I$377</f>
        <v/>
      </c>
      <c r="J430" s="962">
        <f>J361*J$447/J$377</f>
        <v/>
      </c>
      <c r="K430" s="962">
        <f>K361*K$447/K$377</f>
        <v/>
      </c>
      <c r="L430" s="962">
        <f>L361*L$447/L$377</f>
        <v/>
      </c>
      <c r="M430" s="962">
        <f>M361*M$447/M$377</f>
        <v/>
      </c>
      <c r="N430" s="962">
        <f>N361*N$447/N$377</f>
        <v/>
      </c>
      <c r="O430" s="962">
        <f>O361*O$447/O$377</f>
        <v/>
      </c>
      <c r="P430" s="85">
        <f>SUM(D430:O430)</f>
        <v/>
      </c>
      <c r="Q430" s="2422" t="n"/>
      <c r="R430" s="2362" t="n"/>
      <c r="S430" s="2422" t="n"/>
      <c r="T430" s="2422" t="n"/>
      <c r="U430" s="2422" t="n"/>
      <c r="V430" s="2422" t="n"/>
      <c r="W430" s="2422" t="n"/>
      <c r="X430" s="2422" t="n"/>
      <c r="Y430" s="2422" t="n"/>
      <c r="Z430" s="2422" t="n"/>
      <c r="AA430" s="2422" t="n"/>
      <c r="AB430" s="2422" t="n"/>
      <c r="AC430" s="2422" t="n"/>
      <c r="AD430" s="2422" t="n"/>
      <c r="AE430" s="2422" t="n"/>
      <c r="AF430" s="2422" t="n"/>
      <c r="AG430" s="2422" t="n"/>
      <c r="AH430" s="2422" t="n"/>
      <c r="AI430" s="2422" t="n"/>
      <c r="AJ430" s="2422" t="n"/>
      <c r="AK430" s="2422" t="n"/>
      <c r="AL430" s="2422" t="n"/>
      <c r="AM430" s="2422" t="n"/>
      <c r="AN430" s="2422" t="n"/>
      <c r="AO430" s="2422" t="n"/>
      <c r="AP430" s="2422" t="n"/>
      <c r="AQ430" s="2422" t="n"/>
      <c r="AR430" s="2422" t="n"/>
      <c r="AS430" s="2422" t="n"/>
    </row>
    <row customHeight="1" ht="36" outlineLevel="1" r="431" s="1843" spans="1:57">
      <c r="A431" s="2408" t="n"/>
      <c r="B431" s="1171" t="n"/>
      <c r="C431" s="2387" t="s">
        <v>202</v>
      </c>
      <c r="D431" s="962">
        <f>D362*D$446/D$376</f>
        <v/>
      </c>
      <c r="E431" s="962">
        <f>E362*E$446/E$376</f>
        <v/>
      </c>
      <c r="F431" s="962">
        <f>F362*F$446/F$376</f>
        <v/>
      </c>
      <c r="G431" s="962">
        <f>G362*G$446/G$376</f>
        <v/>
      </c>
      <c r="H431" s="962">
        <f>H362*H$446/H$376</f>
        <v/>
      </c>
      <c r="I431" s="962">
        <f>I362*I$446/I$376</f>
        <v/>
      </c>
      <c r="J431" s="962">
        <f>J362*J$446/J$376</f>
        <v/>
      </c>
      <c r="K431" s="962">
        <f>K362*K$446/K$376</f>
        <v/>
      </c>
      <c r="L431" s="962">
        <f>L362*L$446/L$376</f>
        <v/>
      </c>
      <c r="M431" s="962">
        <f>M362*M$446/M$376</f>
        <v/>
      </c>
      <c r="N431" s="962">
        <f>N362*N$446/N$376</f>
        <v/>
      </c>
      <c r="O431" s="962">
        <f>O362*O$446/O$376</f>
        <v/>
      </c>
      <c r="P431" s="93">
        <f>SUM(D431:O431)</f>
        <v/>
      </c>
      <c r="Q431" s="2362" t="n"/>
      <c r="R431" s="2454" t="n"/>
      <c r="S431" s="2362" t="n"/>
      <c r="T431" s="2362" t="n"/>
      <c r="U431" s="2362" t="n"/>
      <c r="V431" s="2362" t="n"/>
      <c r="W431" s="2362" t="n"/>
      <c r="X431" s="2362" t="n"/>
      <c r="Y431" s="2362" t="n"/>
      <c r="Z431" s="2362" t="n"/>
      <c r="AA431" s="2362" t="n"/>
      <c r="AB431" s="2362" t="n"/>
      <c r="AC431" s="2362" t="n"/>
      <c r="AD431" s="2362" t="n"/>
      <c r="AE431" s="2362" t="n"/>
      <c r="AF431" s="2362" t="n"/>
      <c r="AG431" s="2362" t="n"/>
      <c r="AH431" s="2362" t="n"/>
      <c r="AI431" s="2362" t="n"/>
      <c r="AJ431" s="2362" t="n"/>
      <c r="AK431" s="2362" t="n"/>
      <c r="AL431" s="2362" t="n"/>
      <c r="AM431" s="2362" t="n"/>
      <c r="AN431" s="2362" t="n"/>
      <c r="AO431" s="2362" t="n"/>
      <c r="AP431" s="2362" t="n"/>
      <c r="AQ431" s="2362" t="n"/>
      <c r="AR431" s="2362" t="n"/>
      <c r="AS431" s="2362" t="n"/>
    </row>
    <row customHeight="1" ht="14.25" outlineLevel="1" r="432" s="1843" spans="1:57">
      <c r="A432" s="2407" t="n"/>
      <c r="B432" s="139" t="n"/>
      <c r="C432" s="2439" t="s">
        <v>216</v>
      </c>
      <c r="D432" s="1187">
        <f>D$363*SUM(D$439,D$444)/SUM(D$369,D$374)</f>
        <v/>
      </c>
      <c r="E432" s="1187">
        <f>E$363*SUM(E$439,E$444)/SUM(E$369,E$374)</f>
        <v/>
      </c>
      <c r="F432" s="1187">
        <f>F$363*SUM(F$439,F$444)/SUM(F$369,F$374)</f>
        <v/>
      </c>
      <c r="G432" s="1187">
        <f>G$363*SUM(G$439,G$444)/SUM(G$369,G$374)</f>
        <v/>
      </c>
      <c r="H432" s="1187">
        <f>H$363*SUM(H$439,H$444)/SUM(H$369,H$374)</f>
        <v/>
      </c>
      <c r="I432" s="1187">
        <f>I$363*SUM(I$439,I$444)/SUM(I$369,I$374)</f>
        <v/>
      </c>
      <c r="J432" s="1187">
        <f>J$363*SUM(J$439,J$444)/SUM(J$369,J$374)</f>
        <v/>
      </c>
      <c r="K432" s="1187">
        <f>K$363*SUM(K$439,K$444)/SUM(K$369,K$374)</f>
        <v/>
      </c>
      <c r="L432" s="1187">
        <f>L$363*SUM(L$439,L$444)/SUM(L$369,L$374)</f>
        <v/>
      </c>
      <c r="M432" s="1187">
        <f>M$363*SUM(M$439,M$444)/SUM(M$369,M$374)</f>
        <v/>
      </c>
      <c r="N432" s="1187">
        <f>N$363*SUM(N$439,N$444)/SUM(N$369,N$374)</f>
        <v/>
      </c>
      <c r="O432" s="1187">
        <f>O$363*SUM(O$439,O$444)/SUM(O$369,O$374)</f>
        <v/>
      </c>
      <c r="P432" s="1173">
        <f>SUM(D432:O432)</f>
        <v/>
      </c>
      <c r="Q432" s="2362" t="n"/>
      <c r="R432" s="2362" t="n"/>
      <c r="S432" s="2362" t="n"/>
      <c r="T432" s="2362" t="n"/>
      <c r="U432" s="2362" t="n"/>
      <c r="V432" s="2362" t="n"/>
      <c r="W432" s="2362" t="n"/>
      <c r="X432" s="2362" t="n"/>
      <c r="Y432" s="2362" t="n"/>
      <c r="Z432" s="2362" t="n"/>
      <c r="AA432" s="2362" t="n"/>
      <c r="AB432" s="2362" t="n"/>
      <c r="AC432" s="2362" t="n"/>
      <c r="AD432" s="2362" t="n"/>
      <c r="AE432" s="2362" t="n"/>
      <c r="AF432" s="2362" t="n"/>
      <c r="AG432" s="2362" t="n"/>
      <c r="AH432" s="2362" t="n"/>
      <c r="AI432" s="2362" t="n"/>
      <c r="AJ432" s="2362" t="n"/>
      <c r="AK432" s="2362" t="n"/>
      <c r="AL432" s="2362" t="n"/>
      <c r="AM432" s="2362" t="n"/>
      <c r="AN432" s="2362" t="n"/>
      <c r="AO432" s="2362" t="n"/>
      <c r="AP432" s="2362" t="n"/>
      <c r="AQ432" s="2362" t="n"/>
      <c r="AR432" s="2362" t="n"/>
      <c r="AS432" s="2362" t="n"/>
    </row>
    <row customHeight="1" ht="15" outlineLevel="1" r="433" s="1843" spans="1:57" thickBot="1">
      <c r="A433" s="2408" t="n"/>
      <c r="B433" s="70" t="s">
        <v>217</v>
      </c>
      <c r="C433" s="2406" t="n"/>
      <c r="D433" s="73">
        <f>SUM(D424:D432)</f>
        <v/>
      </c>
      <c r="E433" s="73">
        <f>SUM(E424:E432)</f>
        <v/>
      </c>
      <c r="F433" s="73">
        <f>SUM(F424:F432)</f>
        <v/>
      </c>
      <c r="G433" s="73">
        <f>SUM(G424:G432)</f>
        <v/>
      </c>
      <c r="H433" s="73">
        <f>SUM(H424:H432)</f>
        <v/>
      </c>
      <c r="I433" s="73">
        <f>SUM(I424:I432)</f>
        <v/>
      </c>
      <c r="J433" s="73">
        <f>SUM(J424:J432)</f>
        <v/>
      </c>
      <c r="K433" s="73">
        <f>SUM(K424:K432)</f>
        <v/>
      </c>
      <c r="L433" s="73">
        <f>SUM(L424:L432)</f>
        <v/>
      </c>
      <c r="M433" s="73">
        <f>SUM(M424:M432)</f>
        <v/>
      </c>
      <c r="N433" s="73">
        <f>SUM(N424:N432)</f>
        <v/>
      </c>
      <c r="O433" s="73">
        <f>SUM(O424:O432)</f>
        <v/>
      </c>
      <c r="P433" s="76">
        <f>SUM(D433:O433)</f>
        <v/>
      </c>
      <c r="R433" s="2422" t="n"/>
    </row>
    <row customFormat="1" customHeight="1" ht="15" outlineLevel="1" r="434" s="2362" spans="1:57" thickBot="1">
      <c r="A434" s="2362" t="n"/>
      <c r="B434" s="1324" t="n"/>
      <c r="C434" s="2449" t="s">
        <v>218</v>
      </c>
      <c r="D434" s="1323">
        <f>SUM(D423,D433)</f>
        <v/>
      </c>
      <c r="E434" s="1323">
        <f>SUM(E423,E433)</f>
        <v/>
      </c>
      <c r="F434" s="1323">
        <f>SUM(F423,F433)</f>
        <v/>
      </c>
      <c r="G434" s="1323">
        <f>SUM(G423,G433)</f>
        <v/>
      </c>
      <c r="H434" s="1323">
        <f>SUM(H423,H433)</f>
        <v/>
      </c>
      <c r="I434" s="1323">
        <f>SUM(I423,I433)</f>
        <v/>
      </c>
      <c r="J434" s="1323">
        <f>SUM(J423,J433)</f>
        <v/>
      </c>
      <c r="K434" s="1323">
        <f>SUM(K423,K433)</f>
        <v/>
      </c>
      <c r="L434" s="1323">
        <f>SUM(L423,L433)</f>
        <v/>
      </c>
      <c r="M434" s="1323">
        <f>SUM(M423,M433)</f>
        <v/>
      </c>
      <c r="N434" s="1323">
        <f>SUM(N423,N433)</f>
        <v/>
      </c>
      <c r="O434" s="1323">
        <f>SUM(O423,O433)</f>
        <v/>
      </c>
      <c r="P434" s="89">
        <f>SUM(P423,P433)</f>
        <v/>
      </c>
      <c r="R434" s="2362" t="n"/>
    </row>
    <row customFormat="1" customHeight="1" ht="14.25" outlineLevel="1" r="435" s="2362" spans="1:57">
      <c r="A435" s="2392" t="s">
        <v>203</v>
      </c>
      <c r="B435" s="2393" t="n"/>
      <c r="C435" s="2413" t="s">
        <v>204</v>
      </c>
      <c r="D435" s="2425" t="n">
        <v>0.5</v>
      </c>
      <c r="E435" s="2425" t="n">
        <v>0.5</v>
      </c>
      <c r="F435" s="2425" t="n">
        <v>0.5</v>
      </c>
      <c r="G435" s="2425" t="n">
        <v>0.5</v>
      </c>
      <c r="H435" s="2425" t="n">
        <v>0.5</v>
      </c>
      <c r="I435" s="2425" t="n">
        <v>0.5</v>
      </c>
      <c r="J435" s="2425" t="n">
        <v>0.5</v>
      </c>
      <c r="K435" s="2425" t="n">
        <v>0.5</v>
      </c>
      <c r="L435" s="2425" t="n">
        <v>0.5</v>
      </c>
      <c r="M435" s="2425" t="n">
        <v>0.5</v>
      </c>
      <c r="N435" s="2425" t="n">
        <v>0.5</v>
      </c>
      <c r="O435" s="2425" t="n">
        <v>0.5</v>
      </c>
      <c r="P435" s="1219">
        <f>SUM(D435:O435)</f>
        <v/>
      </c>
    </row>
    <row customFormat="1" customHeight="1" ht="14.25" outlineLevel="1" r="436" s="2362" spans="1:57">
      <c r="B436" s="2395" t="n"/>
      <c r="C436" s="2399" t="s">
        <v>14</v>
      </c>
      <c r="D436" s="1395" t="n"/>
      <c r="E436" s="1395" t="n"/>
      <c r="F436" s="1395" t="n"/>
      <c r="G436" s="1395" t="n"/>
      <c r="H436" s="1395" t="n"/>
      <c r="I436" s="1395" t="n"/>
      <c r="J436" s="1395" t="n"/>
      <c r="K436" s="1395" t="n"/>
      <c r="L436" s="1395" t="n"/>
      <c r="M436" s="1395" t="n"/>
      <c r="N436" s="1395" t="n"/>
      <c r="O436" s="1395" t="n"/>
      <c r="P436" s="1221">
        <f>SUM(D436:O436)</f>
        <v/>
      </c>
    </row>
    <row customFormat="1" customHeight="1" ht="14.25" outlineLevel="1" r="437" s="2362" spans="1:57">
      <c r="B437" s="2395" t="n"/>
      <c r="C437" s="2399" t="s">
        <v>15</v>
      </c>
      <c r="D437" s="1395" t="n">
        <v>1</v>
      </c>
      <c r="E437" s="1395" t="n">
        <v>1</v>
      </c>
      <c r="F437" s="1395" t="n">
        <v>1</v>
      </c>
      <c r="G437" s="1395" t="n">
        <v>1</v>
      </c>
      <c r="H437" s="1395" t="n">
        <v>1</v>
      </c>
      <c r="I437" s="1395" t="n">
        <v>1</v>
      </c>
      <c r="J437" s="1395" t="n">
        <v>1</v>
      </c>
      <c r="K437" s="1395" t="n">
        <v>1</v>
      </c>
      <c r="L437" s="1395" t="n">
        <v>1</v>
      </c>
      <c r="M437" s="1395" t="n">
        <v>1</v>
      </c>
      <c r="N437" s="1395" t="n">
        <v>1</v>
      </c>
      <c r="O437" s="1395" t="n">
        <v>1</v>
      </c>
      <c r="P437" s="1221">
        <f>SUM(D437:O437)</f>
        <v/>
      </c>
    </row>
    <row customFormat="1" customHeight="1" ht="14.25" outlineLevel="1" r="438" s="2362" spans="1:57">
      <c r="B438" s="2395" t="n"/>
      <c r="C438" s="2399" t="s">
        <v>16</v>
      </c>
      <c r="D438" s="1395" t="n"/>
      <c r="E438" s="1395" t="n"/>
      <c r="F438" s="1395" t="n"/>
      <c r="G438" s="1395" t="n"/>
      <c r="H438" s="1395" t="n"/>
      <c r="I438" s="1395" t="n"/>
      <c r="J438" s="1395" t="n"/>
      <c r="K438" s="1395" t="n"/>
      <c r="L438" s="1395" t="n"/>
      <c r="M438" s="1395" t="n"/>
      <c r="N438" s="1395" t="n"/>
      <c r="O438" s="1395" t="n"/>
      <c r="P438" s="1221">
        <f>SUM(D438:O438)</f>
        <v/>
      </c>
    </row>
    <row customFormat="1" customHeight="1" ht="14.25" outlineLevel="1" r="439" s="2362" spans="1:57">
      <c r="B439" s="2395" t="n"/>
      <c r="C439" s="2399" t="s">
        <v>205</v>
      </c>
      <c r="D439" s="2414">
        <f>SUM(D435:D438)</f>
        <v/>
      </c>
      <c r="E439" s="2414">
        <f>SUM(E435:E438)</f>
        <v/>
      </c>
      <c r="F439" s="2414">
        <f>SUM(F435:F438)</f>
        <v/>
      </c>
      <c r="G439" s="2414">
        <f>SUM(G435:G438)</f>
        <v/>
      </c>
      <c r="H439" s="2414">
        <f>SUM(H435:H438)</f>
        <v/>
      </c>
      <c r="I439" s="2414">
        <f>SUM(I435:I438)</f>
        <v/>
      </c>
      <c r="J439" s="2414">
        <f>SUM(J435:J438)</f>
        <v/>
      </c>
      <c r="K439" s="2414">
        <f>SUM(K435:K438)</f>
        <v/>
      </c>
      <c r="L439" s="2414">
        <f>SUM(L435:L438)</f>
        <v/>
      </c>
      <c r="M439" s="2414">
        <f>SUM(M435:M438)</f>
        <v/>
      </c>
      <c r="N439" s="2414">
        <f>SUM(N435:N438)</f>
        <v/>
      </c>
      <c r="O439" s="2414">
        <f>SUM(O435:O438)</f>
        <v/>
      </c>
      <c r="P439" s="1221">
        <f>SUM(P435:P438)</f>
        <v/>
      </c>
    </row>
    <row customHeight="1" ht="14.25" outlineLevel="1" r="440" s="1843" spans="1:57">
      <c r="B440" s="2395" t="n"/>
      <c r="C440" s="2399" t="s">
        <v>206</v>
      </c>
      <c r="D440" s="2426" t="n">
        <v>0.5</v>
      </c>
      <c r="E440" s="2426" t="n">
        <v>0.5</v>
      </c>
      <c r="F440" s="2426" t="n">
        <v>0.5</v>
      </c>
      <c r="G440" s="2426" t="n">
        <v>0.5</v>
      </c>
      <c r="H440" s="2426" t="n">
        <v>0.5</v>
      </c>
      <c r="I440" s="2426" t="n">
        <v>0.5</v>
      </c>
      <c r="J440" s="2426" t="n">
        <v>0.5</v>
      </c>
      <c r="K440" s="2426" t="n">
        <v>0.5</v>
      </c>
      <c r="L440" s="2426" t="n">
        <v>0.5</v>
      </c>
      <c r="M440" s="2426" t="n">
        <v>0.5</v>
      </c>
      <c r="N440" s="2426" t="n">
        <v>0.5</v>
      </c>
      <c r="O440" s="2426" t="n">
        <v>0.5</v>
      </c>
      <c r="P440" s="1221">
        <f>SUM(D440:O440)</f>
        <v/>
      </c>
      <c r="R440" s="2362" t="n"/>
    </row>
    <row customHeight="1" ht="14.25" outlineLevel="1" r="441" s="1843" spans="1:57">
      <c r="B441" s="2398" t="n"/>
      <c r="C441" s="2400" t="s">
        <v>207</v>
      </c>
      <c r="D441" s="1233">
        <f>D439-D440</f>
        <v/>
      </c>
      <c r="E441" s="1233">
        <f>E439-E440</f>
        <v/>
      </c>
      <c r="F441" s="1233">
        <f>F439-F440</f>
        <v/>
      </c>
      <c r="G441" s="1233">
        <f>G439-G440</f>
        <v/>
      </c>
      <c r="H441" s="1233">
        <f>H439-H440</f>
        <v/>
      </c>
      <c r="I441" s="1233">
        <f>I439-I440</f>
        <v/>
      </c>
      <c r="J441" s="1233">
        <f>J439-J440</f>
        <v/>
      </c>
      <c r="K441" s="1233">
        <f>K439-K440</f>
        <v/>
      </c>
      <c r="L441" s="1233">
        <f>L439-L440</f>
        <v/>
      </c>
      <c r="M441" s="1233">
        <f>M439-M440</f>
        <v/>
      </c>
      <c r="N441" s="1233">
        <f>N439-N440</f>
        <v/>
      </c>
      <c r="O441" s="1233">
        <f>O439-O440</f>
        <v/>
      </c>
      <c r="P441" s="1221">
        <f>SUM(P437:P440)</f>
        <v/>
      </c>
      <c r="R441" s="2362" t="n"/>
    </row>
    <row customHeight="1" ht="14.25" outlineLevel="1" r="442" s="1843" spans="1:57">
      <c r="A442" s="2434" t="s">
        <v>157</v>
      </c>
      <c r="B442" s="2395" t="n"/>
      <c r="C442" s="2399" t="s">
        <v>208</v>
      </c>
      <c r="D442" s="1395" t="n"/>
      <c r="E442" s="1395" t="n"/>
      <c r="F442" s="1395" t="n"/>
      <c r="G442" s="1395" t="n"/>
      <c r="H442" s="1395" t="n"/>
      <c r="I442" s="1395" t="n"/>
      <c r="J442" s="1395" t="n"/>
      <c r="K442" s="1395" t="n"/>
      <c r="L442" s="1395" t="n"/>
      <c r="M442" s="1395" t="n"/>
      <c r="N442" s="1395" t="n"/>
      <c r="O442" s="1395" t="n"/>
      <c r="P442" s="1219">
        <f>SUM(D442:O442)</f>
        <v/>
      </c>
      <c r="R442" s="2362" t="n"/>
    </row>
    <row customHeight="1" ht="14.25" outlineLevel="1" r="443" s="1843" spans="1:57">
      <c r="B443" s="2395" t="n"/>
      <c r="C443" s="2399" t="s">
        <v>209</v>
      </c>
      <c r="D443" s="1395">
        <f>SUMPRODUCT(('FY18 SET'!$B$4:$B67=$A$418)*('FY18 SET'!$F$4:$F67="实际OS")*('FY18 SET'!G$4:G$67))</f>
        <v/>
      </c>
      <c r="E443" s="1395">
        <f>SUMPRODUCT(('FY18 SET'!$B$4:$B67=$A$418)*('FY18 SET'!$F$4:$F67="实际OS")*('FY18 SET'!H$4:H$67))</f>
        <v/>
      </c>
      <c r="F443" s="1395">
        <f>SUMPRODUCT(('FY18 SET'!$B$4:$B67=$A$418)*('FY18 SET'!$F$4:$F67="实际OS")*('FY18 SET'!I$4:I$67))</f>
        <v/>
      </c>
      <c r="G443" s="1395">
        <f>SUMPRODUCT(('FY18 SET'!$B$4:$B67=$A$418)*('FY18 SET'!$F$4:$F67="实际OS")*('FY18 SET'!J$4:J$67))</f>
        <v/>
      </c>
      <c r="H443" s="1395">
        <f>SUMPRODUCT(('FY18 SET'!$B$4:$B67=$A$418)*('FY18 SET'!$F$4:$F67="实际OS")*('FY18 SET'!K$4:K$67))</f>
        <v/>
      </c>
      <c r="I443" s="1395">
        <f>SUMPRODUCT(('FY18 SET'!$B$4:$B67=$A$418)*('FY18 SET'!$F$4:$F67="实际OS")*('FY18 SET'!L$4:L$67))</f>
        <v/>
      </c>
      <c r="J443" s="1395">
        <f>SUMPRODUCT(('FY18 SET'!$B$4:$B67=$A$418)*('FY18 SET'!$F$4:$F67="实际OS")*('FY18 SET'!N$4:N$67))</f>
        <v/>
      </c>
      <c r="K443" s="1395">
        <f>SUMPRODUCT(('FY18 SET'!$B$4:$B67=$A$418)*('FY18 SET'!$F$4:$F67="实际OS")*('FY18 SET'!O$4:O$67))</f>
        <v/>
      </c>
      <c r="L443" s="1395">
        <f>SUMPRODUCT(('FY18 SET'!$B$4:$B67=$A$418)*('FY18 SET'!$F$4:$F67="实际OS")*('FY18 SET'!P$4:P$67))</f>
        <v/>
      </c>
      <c r="M443" s="1395">
        <f>SUMPRODUCT(('FY18 SET'!$B$4:$B67=$A$418)*('FY18 SET'!$F$4:$F67="实际OS")*('FY18 SET'!Q$4:Q$67))</f>
        <v/>
      </c>
      <c r="N443" s="1395">
        <f>SUMPRODUCT(('FY18 SET'!$B$4:$B67=$A$418)*('FY18 SET'!$F$4:$F67="实际OS")*('FY18 SET'!R$4:R$67))</f>
        <v/>
      </c>
      <c r="O443" s="1395">
        <f>SUMPRODUCT(('FY18 SET'!$B$4:$B67=$A$418)*('FY18 SET'!$F$4:$F67="实际OS")*('FY18 SET'!S$4:S$67))</f>
        <v/>
      </c>
      <c r="P443" s="1219">
        <f>SUM(D443:O443)</f>
        <v/>
      </c>
    </row>
    <row customFormat="1" customHeight="1" ht="14.25" outlineLevel="1" r="444" s="2362" spans="1:57">
      <c r="B444" s="1324" t="n"/>
      <c r="C444" s="2399" t="s">
        <v>211</v>
      </c>
      <c r="D444" s="1232">
        <f>SUM(D443:D443)</f>
        <v/>
      </c>
      <c r="E444" s="1232">
        <f>SUM(E443:E443)</f>
        <v/>
      </c>
      <c r="F444" s="1232">
        <f>SUM(F443:F443)</f>
        <v/>
      </c>
      <c r="G444" s="1232">
        <f>SUM(G443:G443)</f>
        <v/>
      </c>
      <c r="H444" s="1232">
        <f>SUM(H443:H443)</f>
        <v/>
      </c>
      <c r="I444" s="1232">
        <f>SUM(I443:I443)</f>
        <v/>
      </c>
      <c r="J444" s="1232">
        <f>SUM(J443:J443)</f>
        <v/>
      </c>
      <c r="K444" s="1232">
        <f>SUM(K443:K443)</f>
        <v/>
      </c>
      <c r="L444" s="1232">
        <f>SUM(L443:L443)</f>
        <v/>
      </c>
      <c r="M444" s="1232">
        <f>SUM(M443:M443)</f>
        <v/>
      </c>
      <c r="N444" s="1232">
        <f>SUM(N443:N443)</f>
        <v/>
      </c>
      <c r="O444" s="1232">
        <f>SUM(O443:O443)</f>
        <v/>
      </c>
      <c r="P444" s="1221">
        <f>SUM(D444:O444)</f>
        <v/>
      </c>
    </row>
    <row customHeight="1" ht="14.25" outlineLevel="1" r="445" s="1843" spans="1:57">
      <c r="A445" s="2416" t="s">
        <v>219</v>
      </c>
      <c r="B445" s="2417" t="n"/>
      <c r="C445" s="2418" t="s">
        <v>220</v>
      </c>
      <c r="D445" s="1278">
        <f>SUM(D440,D442)</f>
        <v/>
      </c>
      <c r="E445" s="1270">
        <f>SUM(E440,E442)</f>
        <v/>
      </c>
      <c r="F445" s="1270">
        <f>SUM(F440,F442)</f>
        <v/>
      </c>
      <c r="G445" s="1270">
        <f>SUM(G440,G442)</f>
        <v/>
      </c>
      <c r="H445" s="1270">
        <f>SUM(H440,H442)</f>
        <v/>
      </c>
      <c r="I445" s="1270">
        <f>SUM(I440,I442)</f>
        <v/>
      </c>
      <c r="J445" s="1270">
        <f>SUM(J440,J442)</f>
        <v/>
      </c>
      <c r="K445" s="1270">
        <f>SUM(K440,K442)</f>
        <v/>
      </c>
      <c r="L445" s="1270">
        <f>SUM(L440,L442)</f>
        <v/>
      </c>
      <c r="M445" s="1270">
        <f>SUM(M440,M442)</f>
        <v/>
      </c>
      <c r="N445" s="1270">
        <f>SUM(N440,N442)</f>
        <v/>
      </c>
      <c r="O445" s="1271">
        <f>SUM(O440,O442)</f>
        <v/>
      </c>
      <c r="P445" s="2455" t="n"/>
      <c r="Q445" s="2362" t="n"/>
      <c r="R445" s="2362" t="n"/>
      <c r="S445" s="2362" t="n"/>
      <c r="T445" s="2362" t="n"/>
      <c r="U445" s="2362" t="n"/>
      <c r="V445" s="2362" t="n"/>
      <c r="W445" s="2362" t="n"/>
      <c r="X445" s="2362" t="n"/>
      <c r="Y445" s="2362" t="n"/>
      <c r="Z445" s="2362" t="n"/>
      <c r="AA445" s="2362" t="n"/>
      <c r="AB445" s="2362" t="n"/>
      <c r="AC445" s="2362" t="n"/>
      <c r="AD445" s="2362" t="n"/>
      <c r="AE445" s="2362" t="n"/>
    </row>
    <row customHeight="1" ht="14.25" outlineLevel="1" r="446" s="1843" spans="1:57">
      <c r="B446" s="2419" t="n"/>
      <c r="C446" s="2420" t="s">
        <v>221</v>
      </c>
      <c r="D446" s="1279">
        <f>SUM(D441,D443)</f>
        <v/>
      </c>
      <c r="E446" s="140">
        <f>SUM(E441,E443)</f>
        <v/>
      </c>
      <c r="F446" s="140">
        <f>SUM(F441,F443)</f>
        <v/>
      </c>
      <c r="G446" s="140">
        <f>SUM(G441,G443)</f>
        <v/>
      </c>
      <c r="H446" s="140">
        <f>SUM(H441,H443)</f>
        <v/>
      </c>
      <c r="I446" s="140">
        <f>SUM(I441,I443)</f>
        <v/>
      </c>
      <c r="J446" s="140">
        <f>SUM(J441,J443)</f>
        <v/>
      </c>
      <c r="K446" s="140">
        <f>SUM(K441,K443)</f>
        <v/>
      </c>
      <c r="L446" s="140">
        <f>SUM(L441,L443)</f>
        <v/>
      </c>
      <c r="M446" s="140">
        <f>SUM(M441,M443)</f>
        <v/>
      </c>
      <c r="N446" s="140">
        <f>SUM(N441,N443)</f>
        <v/>
      </c>
      <c r="O446" s="1273">
        <f>SUM(O441,O443)</f>
        <v/>
      </c>
      <c r="P446" s="2422" t="n"/>
      <c r="Q446" s="2362" t="n"/>
      <c r="R446" s="2362" t="n"/>
      <c r="S446" s="2362" t="n"/>
      <c r="T446" s="2362" t="n"/>
      <c r="U446" s="2362" t="n"/>
      <c r="V446" s="2362" t="n"/>
      <c r="W446" s="2362" t="n"/>
      <c r="X446" s="2362" t="n"/>
      <c r="Y446" s="2362" t="n"/>
      <c r="Z446" s="2362" t="n"/>
      <c r="AA446" s="2362" t="n"/>
      <c r="AB446" s="2362" t="n"/>
      <c r="AC446" s="2362" t="n"/>
      <c r="AD446" s="2362" t="n"/>
      <c r="AE446" s="2362" t="n"/>
    </row>
    <row customHeight="1" ht="14.25" outlineLevel="1" r="447" s="1843" spans="1:57">
      <c r="B447" s="1274" t="n"/>
      <c r="C447" s="2421" t="s">
        <v>222</v>
      </c>
      <c r="D447" s="1280">
        <f>SUM(D445:D446)</f>
        <v/>
      </c>
      <c r="E447" s="1276">
        <f>SUM(E445:E446)</f>
        <v/>
      </c>
      <c r="F447" s="1276">
        <f>SUM(F445:F446)</f>
        <v/>
      </c>
      <c r="G447" s="1276">
        <f>SUM(G445:G446)</f>
        <v/>
      </c>
      <c r="H447" s="1276">
        <f>SUM(H445:H446)</f>
        <v/>
      </c>
      <c r="I447" s="1276">
        <f>SUM(I445:I446)</f>
        <v/>
      </c>
      <c r="J447" s="1276">
        <f>SUM(J445:J446)</f>
        <v/>
      </c>
      <c r="K447" s="1276">
        <f>SUM(K445:K446)</f>
        <v/>
      </c>
      <c r="L447" s="1276">
        <f>SUM(L445:L446)</f>
        <v/>
      </c>
      <c r="M447" s="1276">
        <f>SUM(M445:M446)</f>
        <v/>
      </c>
      <c r="N447" s="1276">
        <f>SUM(N445:N446)</f>
        <v/>
      </c>
      <c r="O447" s="1277">
        <f>SUM(O445:O446)</f>
        <v/>
      </c>
      <c r="P447" s="2422" t="n"/>
      <c r="Q447" s="2362" t="n"/>
      <c r="R447" s="2362" t="n"/>
      <c r="S447" s="2362" t="n"/>
      <c r="T447" s="2362" t="n"/>
      <c r="U447" s="2362" t="n"/>
      <c r="V447" s="2362" t="n"/>
      <c r="W447" s="2362" t="n"/>
      <c r="X447" s="2362" t="n"/>
      <c r="Y447" s="2362" t="n"/>
      <c r="Z447" s="2362" t="n"/>
      <c r="AA447" s="2362" t="n"/>
      <c r="AB447" s="2362" t="n"/>
      <c r="AC447" s="2362" t="n"/>
      <c r="AD447" s="2362" t="n"/>
      <c r="AE447" s="2362" t="n"/>
    </row>
    <row customHeight="1" ht="14.25" outlineLevel="1" r="448" s="1843" spans="1:57">
      <c r="A448" s="2422" t="n"/>
      <c r="C448" s="2399" t="n"/>
      <c r="D448" s="2414" t="n"/>
      <c r="E448" s="2414" t="n"/>
      <c r="F448" s="2414" t="n"/>
      <c r="G448" s="2414" t="n"/>
      <c r="H448" s="2414" t="n"/>
      <c r="I448" s="2414" t="n"/>
      <c r="J448" s="2414" t="n"/>
      <c r="K448" s="2414" t="n"/>
      <c r="L448" s="2414" t="n"/>
      <c r="M448" s="2414" t="n"/>
      <c r="N448" s="2414" t="n"/>
      <c r="O448" s="2414" t="n"/>
      <c r="P448" s="2422" t="n"/>
      <c r="Q448" s="2362" t="n"/>
      <c r="R448" s="2362" t="n"/>
      <c r="S448" s="2362" t="n"/>
      <c r="T448" s="2362" t="n"/>
      <c r="U448" s="2362" t="n"/>
      <c r="V448" s="2362" t="n"/>
      <c r="W448" s="2362" t="n"/>
      <c r="X448" s="2362" t="n"/>
      <c r="Y448" s="2362" t="n"/>
      <c r="Z448" s="2362" t="n"/>
      <c r="AA448" s="2362" t="n"/>
      <c r="AB448" s="2362" t="n"/>
      <c r="AC448" s="2362" t="n"/>
      <c r="AD448" s="2362" t="n"/>
      <c r="AE448" s="2362" t="n"/>
    </row>
    <row customHeight="1" ht="15.75" outlineLevel="1" r="449" s="1843" spans="1:57">
      <c r="A449" s="2370" t="n"/>
      <c r="B449" s="80" t="n"/>
      <c r="C449" s="2371" t="n"/>
      <c r="D449" s="2372" t="n">
        <v>43191</v>
      </c>
      <c r="E449" s="2372" t="n">
        <v>43221</v>
      </c>
      <c r="F449" s="2372" t="n">
        <v>43252</v>
      </c>
      <c r="G449" s="2372" t="n">
        <v>43282</v>
      </c>
      <c r="H449" s="2372" t="n">
        <v>43313</v>
      </c>
      <c r="I449" s="2372" t="n">
        <v>43344</v>
      </c>
      <c r="J449" s="2372" t="n">
        <v>43374</v>
      </c>
      <c r="K449" s="2372" t="n">
        <v>43405</v>
      </c>
      <c r="L449" s="2372" t="n">
        <v>43435</v>
      </c>
      <c r="M449" s="2372" t="n">
        <v>43466</v>
      </c>
      <c r="N449" s="2372" t="n">
        <v>43497</v>
      </c>
      <c r="O449" s="2372" t="n">
        <v>43525</v>
      </c>
      <c r="P449" s="2373" t="s">
        <v>55</v>
      </c>
      <c r="R449" s="2362" t="n"/>
      <c r="S449" s="2362" t="n"/>
    </row>
    <row customHeight="1" ht="15.75" outlineLevel="1" r="450" s="1843" spans="1:57">
      <c r="A450" s="2375" t="n"/>
      <c r="B450" s="64" t="n"/>
      <c r="C450" s="2376" t="s">
        <v>187</v>
      </c>
      <c r="D450" s="1381">
        <f>D469*D622+D470*D623+D471*D625+D472*D626</f>
        <v/>
      </c>
      <c r="E450" s="1381">
        <f>E469*E622+E470*E623+E471*E625+E472*E626</f>
        <v/>
      </c>
      <c r="F450" s="1381">
        <f>F469*F622+F470*F623+F471*F625+F472*F626</f>
        <v/>
      </c>
      <c r="G450" s="1381">
        <f>G469*G622+G470*G623+G471*G625+G472*G626</f>
        <v/>
      </c>
      <c r="H450" s="1381">
        <f>H469*H622+H470*H623+H471*H625+H472*H626</f>
        <v/>
      </c>
      <c r="I450" s="1381">
        <f>I469*I622+I470*I623+I471*I625+I472*I626</f>
        <v/>
      </c>
      <c r="J450" s="1381">
        <f>J469*J622+J470*J623+J471*J625+J472*J626</f>
        <v/>
      </c>
      <c r="K450" s="1381">
        <f>K469*K622+K470*K623+K471*K625+K472*K626</f>
        <v/>
      </c>
      <c r="L450" s="1381">
        <f>L469*L622+L470*L623+L471*L625+L472*L626</f>
        <v/>
      </c>
      <c r="M450" s="1381">
        <f>M469*M622+M470*M623+M471*M625+M472*M626</f>
        <v/>
      </c>
      <c r="N450" s="1381">
        <f>N469*N622+N470*N623+N471*N625+N472*N626</f>
        <v/>
      </c>
      <c r="O450" s="1381">
        <f>O469*O622+O470*O623+O471*O625+O472*O626</f>
        <v/>
      </c>
      <c r="P450" s="49">
        <f>SUM(D450:O450)</f>
        <v/>
      </c>
      <c r="R450" s="2362" t="n"/>
      <c r="S450" s="2362" t="n"/>
    </row>
    <row customHeight="1" ht="14.25" outlineLevel="1" r="451" s="1843" spans="1:57">
      <c r="A451" s="2436" t="s">
        <v>128</v>
      </c>
      <c r="B451" s="66" t="n"/>
      <c r="C451" s="2379" t="s">
        <v>189</v>
      </c>
      <c r="D451" s="1380">
        <f>D348*D$473/D$369</f>
        <v/>
      </c>
      <c r="E451" s="1380">
        <f>E348*E$473/E$369</f>
        <v/>
      </c>
      <c r="F451" s="1380">
        <f>F348*F$473/F$369</f>
        <v/>
      </c>
      <c r="G451" s="1380">
        <f>G348*G$473/G$369</f>
        <v/>
      </c>
      <c r="H451" s="1380">
        <f>H348*H$473/H$369</f>
        <v/>
      </c>
      <c r="I451" s="1380">
        <f>I348*I$473/I$369</f>
        <v/>
      </c>
      <c r="J451" s="1380">
        <f>J348*J$473/J$369</f>
        <v/>
      </c>
      <c r="K451" s="1380">
        <f>K348*K$473/K$369</f>
        <v/>
      </c>
      <c r="L451" s="1380">
        <f>L348*L$473/L$369</f>
        <v/>
      </c>
      <c r="M451" s="1380">
        <f>M348*M$473/M$369</f>
        <v/>
      </c>
      <c r="N451" s="1380">
        <f>N348*N$473/N$369</f>
        <v/>
      </c>
      <c r="O451" s="1380">
        <f>O348*O$473/O$369</f>
        <v/>
      </c>
      <c r="P451" s="46">
        <f>SUM(D451:O451)</f>
        <v/>
      </c>
      <c r="R451" s="2362" t="n"/>
      <c r="S451" s="2362" t="n"/>
    </row>
    <row customHeight="1" ht="15.75" outlineLevel="1" r="452" s="1843" spans="1:57">
      <c r="A452" s="2403" t="n"/>
      <c r="B452" s="66" t="n"/>
      <c r="C452" s="2379" t="s">
        <v>212</v>
      </c>
      <c r="D452" s="1380">
        <f>D349*D$473/D$369</f>
        <v/>
      </c>
      <c r="E452" s="1380">
        <f>E349*E$473/E$369</f>
        <v/>
      </c>
      <c r="F452" s="1380">
        <f>F349*F$473/F$369</f>
        <v/>
      </c>
      <c r="G452" s="1380">
        <f>G349*G$473/G$369</f>
        <v/>
      </c>
      <c r="H452" s="1380">
        <f>H349*H$473/H$369</f>
        <v/>
      </c>
      <c r="I452" s="1380">
        <f>I349*I$473/I$369</f>
        <v/>
      </c>
      <c r="J452" s="1380">
        <f>J349*J$473/J$369</f>
        <v/>
      </c>
      <c r="K452" s="1380">
        <f>K349*K$473/K$369</f>
        <v/>
      </c>
      <c r="L452" s="1380">
        <f>L349*L$473/L$369</f>
        <v/>
      </c>
      <c r="M452" s="1380">
        <f>M349*M$473/M$369</f>
        <v/>
      </c>
      <c r="N452" s="1380">
        <f>N349*N$473/N$369</f>
        <v/>
      </c>
      <c r="O452" s="1380">
        <f>O349*O$473/O$369</f>
        <v/>
      </c>
      <c r="P452" s="46">
        <f>SUM(D452:O452)</f>
        <v/>
      </c>
      <c r="R452" s="2362" t="n"/>
      <c r="S452" s="2362" t="n"/>
    </row>
    <row customHeight="1" ht="14.25" outlineLevel="1" r="453" s="1843" spans="1:57">
      <c r="A453" s="2381" t="n"/>
      <c r="B453" s="66" t="n"/>
      <c r="C453" s="2379" t="s">
        <v>191</v>
      </c>
      <c r="D453" s="1380">
        <f>D350*D$473/D$369</f>
        <v/>
      </c>
      <c r="E453" s="1380">
        <f>E350*E$473/E$369</f>
        <v/>
      </c>
      <c r="F453" s="1380">
        <f>F350*F$473/F$369</f>
        <v/>
      </c>
      <c r="G453" s="1380">
        <f>G350*G$473/G$369</f>
        <v/>
      </c>
      <c r="H453" s="1380">
        <f>H350*H$473/H$369</f>
        <v/>
      </c>
      <c r="I453" s="1380">
        <f>I350*I$473/I$369</f>
        <v/>
      </c>
      <c r="J453" s="1380">
        <f>J350*J$473/J$369</f>
        <v/>
      </c>
      <c r="K453" s="1380">
        <f>K350*K$473/K$369</f>
        <v/>
      </c>
      <c r="L453" s="1380">
        <f>L350*L$473/L$369</f>
        <v/>
      </c>
      <c r="M453" s="1380">
        <f>M350*M$473/M$369</f>
        <v/>
      </c>
      <c r="N453" s="1380">
        <f>N350*N$473/N$369</f>
        <v/>
      </c>
      <c r="O453" s="1380">
        <f>O350*O$473/O$369</f>
        <v/>
      </c>
      <c r="P453" s="46">
        <f>SUM(D453:O453)</f>
        <v/>
      </c>
      <c r="R453" s="2362" t="n"/>
      <c r="S453" s="2362" t="n"/>
    </row>
    <row customHeight="1" ht="14.25" outlineLevel="1" r="454" s="1843" spans="1:57">
      <c r="A454" s="2381" t="n"/>
      <c r="B454" s="66" t="n"/>
      <c r="C454" s="2379" t="s">
        <v>192</v>
      </c>
      <c r="D454" s="1380">
        <f>D351*D$473/D$369</f>
        <v/>
      </c>
      <c r="E454" s="1380">
        <f>E351*E$473/E$369</f>
        <v/>
      </c>
      <c r="F454" s="1380">
        <f>F351*F$473/F$369</f>
        <v/>
      </c>
      <c r="G454" s="1380">
        <f>G351*G$473/G$369</f>
        <v/>
      </c>
      <c r="H454" s="1380">
        <f>H351*H$473/H$369</f>
        <v/>
      </c>
      <c r="I454" s="1380">
        <f>I351*I$473/I$369</f>
        <v/>
      </c>
      <c r="J454" s="1380">
        <f>J351*J$473/J$369</f>
        <v/>
      </c>
      <c r="K454" s="1380">
        <f>K351*K$473/K$369</f>
        <v/>
      </c>
      <c r="L454" s="1380">
        <f>L351*L$473/L$369</f>
        <v/>
      </c>
      <c r="M454" s="1380">
        <f>M351*M$473/M$369</f>
        <v/>
      </c>
      <c r="N454" s="1380">
        <f>N351*N$473/N$369</f>
        <v/>
      </c>
      <c r="O454" s="1380">
        <f>O351*O$473/O$369</f>
        <v/>
      </c>
      <c r="P454" s="46">
        <f>SUM(D454:O454)</f>
        <v/>
      </c>
      <c r="R454" s="2362" t="n"/>
      <c r="S454" s="2362" t="n"/>
    </row>
    <row customHeight="1" ht="14.25" outlineLevel="1" r="455" s="1843" spans="1:57">
      <c r="A455" s="2381" t="n"/>
      <c r="B455" s="66" t="n"/>
      <c r="C455" s="2379" t="s">
        <v>213</v>
      </c>
      <c r="D455" s="1380">
        <f>D352*D$473/D$369</f>
        <v/>
      </c>
      <c r="E455" s="1380">
        <f>E352*E$473/E$369</f>
        <v/>
      </c>
      <c r="F455" s="1380">
        <f>F352*F$473/F$369</f>
        <v/>
      </c>
      <c r="G455" s="1380">
        <f>G352*G$473/G$369</f>
        <v/>
      </c>
      <c r="H455" s="1380">
        <f>H352*H$473/H$369</f>
        <v/>
      </c>
      <c r="I455" s="1380">
        <f>I352*I$473/I$369</f>
        <v/>
      </c>
      <c r="J455" s="1380">
        <f>J352*J$473/J$369</f>
        <v/>
      </c>
      <c r="K455" s="1380">
        <f>K352*K$473/K$369</f>
        <v/>
      </c>
      <c r="L455" s="1380">
        <f>L352*L$473/L$369</f>
        <v/>
      </c>
      <c r="M455" s="1380">
        <f>M352*M$473/M$369</f>
        <v/>
      </c>
      <c r="N455" s="1380">
        <f>N352*N$473/N$369</f>
        <v/>
      </c>
      <c r="O455" s="1380">
        <f>O352*O$473/O$369</f>
        <v/>
      </c>
      <c r="P455" s="47">
        <f>SUM(D455:O455)</f>
        <v/>
      </c>
      <c r="R455" s="2362" t="n"/>
      <c r="S455" s="2362" t="n"/>
    </row>
    <row customHeight="1" ht="14.25" outlineLevel="1" r="456" s="1843" spans="1:57">
      <c r="A456" s="2381" t="n"/>
      <c r="B456" s="123" t="n"/>
      <c r="C456" s="2382" t="s">
        <v>195</v>
      </c>
      <c r="D456" s="1380">
        <f>D353*D$473/D$369</f>
        <v/>
      </c>
      <c r="E456" s="1380">
        <f>E353*E$473/E$369</f>
        <v/>
      </c>
      <c r="F456" s="1380">
        <f>F353*F$473/F$369</f>
        <v/>
      </c>
      <c r="G456" s="1380">
        <f>G353*G$473/G$369</f>
        <v/>
      </c>
      <c r="H456" s="1380">
        <f>H353*H$473/H$369</f>
        <v/>
      </c>
      <c r="I456" s="1380">
        <f>I353*I$473/I$369</f>
        <v/>
      </c>
      <c r="J456" s="1380">
        <f>J353*J$473/J$369</f>
        <v/>
      </c>
      <c r="K456" s="1380">
        <f>K353*K$473/K$369</f>
        <v/>
      </c>
      <c r="L456" s="1380">
        <f>L353*L$473/L$369</f>
        <v/>
      </c>
      <c r="M456" s="1380">
        <f>M353*M$473/M$369</f>
        <v/>
      </c>
      <c r="N456" s="1380">
        <f>N353*N$473/N$369</f>
        <v/>
      </c>
      <c r="O456" s="1380">
        <f>O353*O$473/O$369</f>
        <v/>
      </c>
      <c r="P456" s="46">
        <f>SUM(D456:O456)</f>
        <v/>
      </c>
      <c r="R456" s="2362" t="n"/>
      <c r="S456" s="2362" t="n"/>
    </row>
    <row customHeight="1" ht="14.25" outlineLevel="1" r="457" s="1843" spans="1:57">
      <c r="A457" s="2381" t="n"/>
      <c r="B457" s="70" t="s">
        <v>214</v>
      </c>
      <c r="C457" s="2406" t="n"/>
      <c r="D457" s="73">
        <f>SUM(D450:D456)</f>
        <v/>
      </c>
      <c r="E457" s="73">
        <f>SUM(E450:E456)</f>
        <v/>
      </c>
      <c r="F457" s="73">
        <f>SUM(F450:F456)</f>
        <v/>
      </c>
      <c r="G457" s="73">
        <f>SUM(G450:G456)</f>
        <v/>
      </c>
      <c r="H457" s="73">
        <f>SUM(H450:H456)</f>
        <v/>
      </c>
      <c r="I457" s="73">
        <f>SUM(I450:I456)</f>
        <v/>
      </c>
      <c r="J457" s="73">
        <f>SUM(J450:J456)</f>
        <v/>
      </c>
      <c r="K457" s="73">
        <f>SUM(K450:K456)</f>
        <v/>
      </c>
      <c r="L457" s="73">
        <f>SUM(L450:L456)</f>
        <v/>
      </c>
      <c r="M457" s="73">
        <f>SUM(M450:M456)</f>
        <v/>
      </c>
      <c r="N457" s="73">
        <f>SUM(N450:N456)</f>
        <v/>
      </c>
      <c r="O457" s="73">
        <f>SUM(O450:O456)</f>
        <v/>
      </c>
      <c r="P457" s="76">
        <f>SUM(D457:O457)</f>
        <v/>
      </c>
      <c r="R457" s="2362" t="n"/>
      <c r="S457" s="2362" t="n"/>
    </row>
    <row customHeight="1" ht="14.25" outlineLevel="1" r="458" s="1843" spans="1:57">
      <c r="A458" s="2407" t="n"/>
      <c r="B458" s="123" t="n"/>
      <c r="C458" s="2385" t="s">
        <v>161</v>
      </c>
      <c r="D458" s="87">
        <f>D355*D$481/D$377</f>
        <v/>
      </c>
      <c r="E458" s="87">
        <f>E355*E$481/E$377</f>
        <v/>
      </c>
      <c r="F458" s="87">
        <f>F355*F$481/F$377</f>
        <v/>
      </c>
      <c r="G458" s="87">
        <f>G355*G$481/G$377</f>
        <v/>
      </c>
      <c r="H458" s="87">
        <f>H355*H$481/H$377</f>
        <v/>
      </c>
      <c r="I458" s="87">
        <f>I355*I$481/I$377</f>
        <v/>
      </c>
      <c r="J458" s="87">
        <f>J355*J$481/J$377</f>
        <v/>
      </c>
      <c r="K458" s="87">
        <f>K355*K$481/K$377</f>
        <v/>
      </c>
      <c r="L458" s="87">
        <f>L355*L$481/L$377</f>
        <v/>
      </c>
      <c r="M458" s="87">
        <f>M355*M$481/M$377</f>
        <v/>
      </c>
      <c r="N458" s="87">
        <f>N355*N$481/N$377</f>
        <v/>
      </c>
      <c r="O458" s="87">
        <f>O355*O$481/O$377</f>
        <v/>
      </c>
      <c r="P458" s="85">
        <f>SUM(D458:O458)</f>
        <v/>
      </c>
      <c r="Q458" s="2362" t="n"/>
      <c r="R458" s="2362" t="n"/>
      <c r="S458" s="2362" t="n"/>
      <c r="T458" s="2362" t="n"/>
      <c r="U458" s="2362" t="n"/>
      <c r="V458" s="2362" t="n"/>
      <c r="W458" s="2362" t="n"/>
      <c r="X458" s="2362" t="n"/>
      <c r="Y458" s="2362" t="n"/>
      <c r="Z458" s="2362" t="n"/>
      <c r="AA458" s="2362" t="n"/>
      <c r="AB458" s="2362" t="n"/>
      <c r="AC458" s="2362" t="n"/>
      <c r="AD458" s="2362" t="n"/>
      <c r="AE458" s="2362" t="n"/>
    </row>
    <row customHeight="1" ht="14.25" outlineLevel="1" r="459" s="1843" spans="1:57">
      <c r="A459" s="2407" t="n"/>
      <c r="B459" s="123" t="n"/>
      <c r="C459" s="2385" t="s">
        <v>215</v>
      </c>
      <c r="D459" s="87">
        <f>D356*D$473/D$369</f>
        <v/>
      </c>
      <c r="E459" s="87">
        <f>E356*E$473/E$369</f>
        <v/>
      </c>
      <c r="F459" s="87">
        <f>F356*F$473/F$369</f>
        <v/>
      </c>
      <c r="G459" s="87">
        <f>G356*G$473/G$369</f>
        <v/>
      </c>
      <c r="H459" s="87">
        <f>H356*H$473/H$369</f>
        <v/>
      </c>
      <c r="I459" s="87">
        <f>I356*I$473/I$369</f>
        <v/>
      </c>
      <c r="J459" s="87">
        <f>J356*J$473/J$369</f>
        <v/>
      </c>
      <c r="K459" s="87">
        <f>K356*K$473/K$369</f>
        <v/>
      </c>
      <c r="L459" s="87">
        <f>L356*L$473/L$369</f>
        <v/>
      </c>
      <c r="M459" s="87">
        <f>M356*M$473/M$369</f>
        <v/>
      </c>
      <c r="N459" s="87">
        <f>N356*N$473/N$369</f>
        <v/>
      </c>
      <c r="O459" s="87">
        <f>O356*O$473/O$369</f>
        <v/>
      </c>
      <c r="P459" s="85">
        <f>SUM(D459:O459)</f>
        <v/>
      </c>
      <c r="Q459" s="2362" t="n"/>
      <c r="R459" s="2362" t="n"/>
      <c r="S459" s="2362" t="n"/>
      <c r="T459" s="2362" t="n"/>
      <c r="U459" s="2362" t="n"/>
      <c r="V459" s="2362" t="n"/>
      <c r="W459" s="2362" t="n"/>
      <c r="X459" s="2362" t="n"/>
      <c r="Y459" s="2362" t="n"/>
      <c r="Z459" s="2362" t="n"/>
      <c r="AA459" s="2362" t="n"/>
      <c r="AB459" s="2362" t="n"/>
      <c r="AC459" s="2362" t="n"/>
      <c r="AD459" s="2362" t="n"/>
      <c r="AE459" s="2362" t="n"/>
    </row>
    <row customHeight="1" ht="14.25" outlineLevel="1" r="460" s="1843" spans="1:57">
      <c r="A460" s="2407" t="n"/>
      <c r="B460" s="1171" t="n"/>
      <c r="C460" s="2386" t="s">
        <v>197</v>
      </c>
      <c r="D460" s="962">
        <f>D357*D$479/D$375</f>
        <v/>
      </c>
      <c r="E460" s="962">
        <f>E357*E$479/E$375</f>
        <v/>
      </c>
      <c r="F460" s="962">
        <f>F357*F$479/F$375</f>
        <v/>
      </c>
      <c r="G460" s="962">
        <f>G357*G$479/G$375</f>
        <v/>
      </c>
      <c r="H460" s="962">
        <f>H357*H$479/H$375</f>
        <v/>
      </c>
      <c r="I460" s="962">
        <f>I357*I$479/I$375</f>
        <v/>
      </c>
      <c r="J460" s="962">
        <f>J357*J$479/J$375</f>
        <v/>
      </c>
      <c r="K460" s="962">
        <f>K357*K$479/K$375</f>
        <v/>
      </c>
      <c r="L460" s="962">
        <f>L357*L$479/L$375</f>
        <v/>
      </c>
      <c r="M460" s="962">
        <f>M357*M$479/M$375</f>
        <v/>
      </c>
      <c r="N460" s="962">
        <f>N357*N$479/N$375</f>
        <v/>
      </c>
      <c r="O460" s="962">
        <f>O357*O$479/O$375</f>
        <v/>
      </c>
      <c r="P460" s="85">
        <f>SUM(D460:O460)</f>
        <v/>
      </c>
      <c r="Q460" s="2362" t="n"/>
      <c r="R460" s="2362" t="n"/>
      <c r="S460" s="2362" t="n"/>
      <c r="T460" s="2362" t="n"/>
      <c r="U460" s="2362" t="n"/>
      <c r="V460" s="2362" t="n"/>
      <c r="W460" s="2362" t="n"/>
      <c r="X460" s="2362" t="n"/>
      <c r="Y460" s="2362" t="n"/>
      <c r="Z460" s="2362" t="n"/>
      <c r="AA460" s="2362" t="n"/>
      <c r="AB460" s="2362" t="n"/>
      <c r="AC460" s="2362" t="n"/>
      <c r="AD460" s="2362" t="n"/>
      <c r="AE460" s="2362" t="n"/>
    </row>
    <row customHeight="1" ht="14.25" outlineLevel="1" r="461" s="1843" spans="1:57">
      <c r="A461" s="2407" t="n"/>
      <c r="B461" s="123" t="n"/>
      <c r="C461" s="2386" t="s">
        <v>198</v>
      </c>
      <c r="D461" s="962">
        <f>D358*D$480/D$376</f>
        <v/>
      </c>
      <c r="E461" s="962">
        <f>E358*E$480/E$376</f>
        <v/>
      </c>
      <c r="F461" s="962">
        <f>F358*F$480/F$376</f>
        <v/>
      </c>
      <c r="G461" s="962">
        <f>G358*G$480/G$376</f>
        <v/>
      </c>
      <c r="H461" s="962">
        <f>H358*H$480/H$376</f>
        <v/>
      </c>
      <c r="I461" s="962">
        <f>I358*I$480/I$376</f>
        <v/>
      </c>
      <c r="J461" s="962">
        <f>J358*J$480/J$376</f>
        <v/>
      </c>
      <c r="K461" s="962">
        <f>K358*K$480/K$376</f>
        <v/>
      </c>
      <c r="L461" s="962">
        <f>L358*L$480/L$376</f>
        <v/>
      </c>
      <c r="M461" s="962">
        <f>M358*M$480/M$376</f>
        <v/>
      </c>
      <c r="N461" s="962">
        <f>N358*N$480/N$376</f>
        <v/>
      </c>
      <c r="O461" s="962">
        <f>O358*O$480/O$376</f>
        <v/>
      </c>
      <c r="P461" s="85">
        <f>SUM(D461:O461)</f>
        <v/>
      </c>
      <c r="Q461" s="2362" t="n"/>
      <c r="R461" s="2362" t="n"/>
      <c r="S461" s="2362" t="n"/>
      <c r="T461" s="2362" t="n"/>
      <c r="U461" s="2362" t="n"/>
      <c r="V461" s="2362" t="n"/>
      <c r="W461" s="2362" t="n"/>
      <c r="X461" s="2362" t="n"/>
      <c r="Y461" s="2362" t="n"/>
      <c r="Z461" s="2362" t="n"/>
      <c r="AA461" s="2362" t="n"/>
      <c r="AB461" s="2362" t="n"/>
      <c r="AC461" s="2362" t="n"/>
      <c r="AD461" s="2362" t="n"/>
      <c r="AE461" s="2362" t="n"/>
    </row>
    <row customFormat="1" customHeight="1" ht="14.25" outlineLevel="1" r="462" s="2437" spans="1:57">
      <c r="A462" s="2407" t="n"/>
      <c r="B462" s="123" t="n"/>
      <c r="C462" s="2385" t="s">
        <v>199</v>
      </c>
      <c r="D462" s="962">
        <f>D359*D$479/D$375</f>
        <v/>
      </c>
      <c r="E462" s="962">
        <f>E359*E$479/E$375</f>
        <v/>
      </c>
      <c r="F462" s="962">
        <f>F359*F$479/F$375</f>
        <v/>
      </c>
      <c r="G462" s="962">
        <f>G359*G$479/G$375</f>
        <v/>
      </c>
      <c r="H462" s="962">
        <f>H359*H$479/H$375</f>
        <v/>
      </c>
      <c r="I462" s="962">
        <f>I359*I$479/I$375</f>
        <v/>
      </c>
      <c r="J462" s="962">
        <f>J359*J$479/J$375</f>
        <v/>
      </c>
      <c r="K462" s="962">
        <f>K359*K$479/K$375</f>
        <v/>
      </c>
      <c r="L462" s="962">
        <f>L359*L$479/L$375</f>
        <v/>
      </c>
      <c r="M462" s="962">
        <f>M359*M$479/M$375</f>
        <v/>
      </c>
      <c r="N462" s="962">
        <f>N359*N$479/N$375</f>
        <v/>
      </c>
      <c r="O462" s="962">
        <f>O359*O$479/O$375</f>
        <v/>
      </c>
      <c r="P462" s="85">
        <f>SUM(D462:O462)</f>
        <v/>
      </c>
      <c r="Q462" s="2362" t="n"/>
      <c r="R462" s="2362" t="n"/>
      <c r="S462" s="2362" t="n"/>
      <c r="T462" s="2362" t="n"/>
      <c r="U462" s="2362" t="n"/>
      <c r="V462" s="2362" t="n"/>
      <c r="W462" s="2362" t="n"/>
      <c r="X462" s="2362" t="n"/>
      <c r="Y462" s="2362" t="n"/>
      <c r="Z462" s="2362" t="n"/>
      <c r="AA462" s="2362" t="n"/>
      <c r="AB462" s="2362" t="n"/>
      <c r="AC462" s="2362" t="n"/>
      <c r="AD462" s="2362" t="n"/>
      <c r="AE462" s="2362" t="n"/>
      <c r="AF462" s="2362" t="n"/>
      <c r="AG462" s="2362" t="n"/>
      <c r="AH462" s="2362" t="n"/>
      <c r="AI462" s="2362" t="n"/>
      <c r="AJ462" s="2362" t="n"/>
      <c r="AK462" s="2362" t="n"/>
      <c r="AL462" s="2362" t="n"/>
      <c r="AM462" s="2362" t="n"/>
      <c r="AN462" s="2362" t="n"/>
      <c r="AO462" s="2362" t="n"/>
      <c r="AP462" s="2362" t="n"/>
      <c r="AQ462" s="2362" t="n"/>
      <c r="AR462" s="2362" t="n"/>
      <c r="AS462" s="2362" t="n"/>
      <c r="AT462" s="2362" t="n"/>
      <c r="AU462" s="2362" t="n"/>
      <c r="AV462" s="2362" t="n"/>
      <c r="AW462" s="2362" t="n"/>
      <c r="AX462" s="2362" t="n"/>
      <c r="AY462" s="2362" t="n"/>
      <c r="AZ462" s="2362" t="n"/>
      <c r="BA462" s="2362" t="n"/>
      <c r="BB462" s="2362" t="n"/>
      <c r="BC462" s="2362" t="n"/>
      <c r="BD462" s="2362" t="n"/>
      <c r="BE462" s="2362" t="n"/>
    </row>
    <row customFormat="1" customHeight="1" ht="14.25" outlineLevel="1" r="463" s="2437" spans="1:57">
      <c r="A463" s="2407" t="n"/>
      <c r="B463" s="123" t="n"/>
      <c r="C463" s="2385" t="s">
        <v>200</v>
      </c>
      <c r="D463" s="962">
        <f>D360*D$480/D$376</f>
        <v/>
      </c>
      <c r="E463" s="962">
        <f>E360*E$480/E$376</f>
        <v/>
      </c>
      <c r="F463" s="962">
        <f>F360*F$480/F$376</f>
        <v/>
      </c>
      <c r="G463" s="962">
        <f>G360*G$480/G$376</f>
        <v/>
      </c>
      <c r="H463" s="962">
        <f>H360*H$480/H$376</f>
        <v/>
      </c>
      <c r="I463" s="962">
        <f>I360*I$480/I$376</f>
        <v/>
      </c>
      <c r="J463" s="962">
        <f>J360*J$480/J$376</f>
        <v/>
      </c>
      <c r="K463" s="962">
        <f>K360*K$480/K$376</f>
        <v/>
      </c>
      <c r="L463" s="962">
        <f>L360*L$480/L$376</f>
        <v/>
      </c>
      <c r="M463" s="962">
        <f>M360*M$480/M$376</f>
        <v/>
      </c>
      <c r="N463" s="962">
        <f>N360*N$480/N$376</f>
        <v/>
      </c>
      <c r="O463" s="962">
        <f>O360*O$480/O$376</f>
        <v/>
      </c>
      <c r="P463" s="85">
        <f>SUM(D463:O463)</f>
        <v/>
      </c>
      <c r="Q463" s="2362" t="n"/>
      <c r="R463" s="2362" t="n"/>
      <c r="S463" s="2362" t="n"/>
      <c r="T463" s="2362" t="n"/>
      <c r="U463" s="2362" t="n"/>
      <c r="V463" s="2362" t="n"/>
      <c r="W463" s="2362" t="n"/>
      <c r="X463" s="2362" t="n"/>
      <c r="Y463" s="2362" t="n"/>
      <c r="Z463" s="2362" t="n"/>
      <c r="AA463" s="2362" t="n"/>
      <c r="AB463" s="2362" t="n"/>
      <c r="AC463" s="2362" t="n"/>
      <c r="AD463" s="2362" t="n"/>
      <c r="AE463" s="2362" t="n"/>
      <c r="AF463" s="2362" t="n"/>
      <c r="AG463" s="2362" t="n"/>
      <c r="AH463" s="2362" t="n"/>
      <c r="AI463" s="2362" t="n"/>
      <c r="AJ463" s="2362" t="n"/>
      <c r="AK463" s="2362" t="n"/>
      <c r="AL463" s="2362" t="n"/>
      <c r="AM463" s="2362" t="n"/>
      <c r="AN463" s="2362" t="n"/>
      <c r="AO463" s="2362" t="n"/>
      <c r="AP463" s="2362" t="n"/>
      <c r="AQ463" s="2362" t="n"/>
      <c r="AR463" s="2362" t="n"/>
      <c r="AS463" s="2362" t="n"/>
      <c r="AT463" s="2362" t="n"/>
      <c r="AU463" s="2362" t="n"/>
      <c r="AV463" s="2362" t="n"/>
      <c r="AW463" s="2362" t="n"/>
      <c r="AX463" s="2362" t="n"/>
      <c r="AY463" s="2362" t="n"/>
      <c r="AZ463" s="2362" t="n"/>
      <c r="BA463" s="2362" t="n"/>
      <c r="BB463" s="2362" t="n"/>
      <c r="BC463" s="2362" t="n"/>
      <c r="BD463" s="2362" t="n"/>
      <c r="BE463" s="2362" t="n"/>
    </row>
    <row customFormat="1" customHeight="1" ht="14.25" outlineLevel="1" r="464" s="2369" spans="1:57">
      <c r="A464" s="2408" t="n"/>
      <c r="B464" s="71" t="n"/>
      <c r="C464" s="2385" t="s">
        <v>201</v>
      </c>
      <c r="D464" s="87">
        <f>D361*D$481/D$377</f>
        <v/>
      </c>
      <c r="E464" s="87">
        <f>E361*E$481/E$377</f>
        <v/>
      </c>
      <c r="F464" s="87">
        <f>F361*F$481/F$377</f>
        <v/>
      </c>
      <c r="G464" s="87">
        <f>G361*G$481/G$377</f>
        <v/>
      </c>
      <c r="H464" s="87">
        <f>H361*H$481/H$377</f>
        <v/>
      </c>
      <c r="I464" s="87">
        <f>I361*I$481/I$377</f>
        <v/>
      </c>
      <c r="J464" s="87">
        <f>J361*J$481/J$377</f>
        <v/>
      </c>
      <c r="K464" s="87">
        <f>K361*K$481/K$377</f>
        <v/>
      </c>
      <c r="L464" s="87">
        <f>L361*L$481/L$377</f>
        <v/>
      </c>
      <c r="M464" s="87">
        <f>M361*M$481/M$377</f>
        <v/>
      </c>
      <c r="N464" s="87">
        <f>N361*N$481/N$377</f>
        <v/>
      </c>
      <c r="O464" s="87">
        <f>O361*O$481/O$377</f>
        <v/>
      </c>
      <c r="P464" s="85">
        <f>SUM(D464:O464)</f>
        <v/>
      </c>
      <c r="Q464" s="2422" t="n"/>
      <c r="R464" s="2362" t="n"/>
      <c r="S464" s="2362" t="n"/>
      <c r="T464" s="2422" t="n"/>
      <c r="U464" s="2422" t="n"/>
      <c r="V464" s="2422" t="n"/>
      <c r="W464" s="2422" t="n"/>
      <c r="X464" s="2422" t="n"/>
      <c r="Y464" s="2422" t="n"/>
      <c r="Z464" s="2422" t="n"/>
      <c r="AA464" s="2422" t="n"/>
      <c r="AB464" s="2422" t="n"/>
      <c r="AC464" s="2422" t="n"/>
      <c r="AD464" s="2422" t="n"/>
      <c r="AE464" s="2422" t="n"/>
      <c r="AF464" s="2422" t="n"/>
      <c r="AG464" s="2422" t="n"/>
      <c r="AH464" s="2422" t="n"/>
      <c r="AI464" s="2422" t="n"/>
      <c r="AJ464" s="2422" t="n"/>
      <c r="AK464" s="2422" t="n"/>
      <c r="AL464" s="2422" t="n"/>
      <c r="AM464" s="2422" t="n"/>
      <c r="AN464" s="2422" t="n"/>
      <c r="AO464" s="2422" t="n"/>
      <c r="AP464" s="2422" t="n"/>
      <c r="AQ464" s="2422" t="n"/>
      <c r="AR464" s="2422" t="n"/>
      <c r="AS464" s="2422" t="n"/>
    </row>
    <row customHeight="1" ht="36" outlineLevel="1" r="465" s="1843" spans="1:57">
      <c r="A465" s="2408" t="n"/>
      <c r="B465" s="1171" t="n"/>
      <c r="C465" s="2384" t="s">
        <v>202</v>
      </c>
      <c r="D465" s="87">
        <f>D362*D$480/D$376</f>
        <v/>
      </c>
      <c r="E465" s="87">
        <f>E362*E$480/E$376</f>
        <v/>
      </c>
      <c r="F465" s="87">
        <f>F362*F$480/F$376</f>
        <v/>
      </c>
      <c r="G465" s="87">
        <f>G362*G$480/G$376</f>
        <v/>
      </c>
      <c r="H465" s="87">
        <f>H362*H$480/H$376</f>
        <v/>
      </c>
      <c r="I465" s="87">
        <f>I362*I$480/I$376</f>
        <v/>
      </c>
      <c r="J465" s="87">
        <f>J362*J$480/J$376</f>
        <v/>
      </c>
      <c r="K465" s="87">
        <f>K362*K$480/K$376</f>
        <v/>
      </c>
      <c r="L465" s="87">
        <f>L362*L$480/L$376</f>
        <v/>
      </c>
      <c r="M465" s="87">
        <f>M362*M$480/M$376</f>
        <v/>
      </c>
      <c r="N465" s="87">
        <f>N362*N$480/N$376</f>
        <v/>
      </c>
      <c r="O465" s="87">
        <f>O362*O$480/O$376</f>
        <v/>
      </c>
      <c r="P465" s="85">
        <f>SUM(D465:O465)</f>
        <v/>
      </c>
      <c r="Q465" s="2362" t="n"/>
      <c r="R465" s="2362" t="n"/>
      <c r="S465" s="2362" t="n"/>
      <c r="T465" s="2362" t="n"/>
      <c r="U465" s="2362" t="n"/>
      <c r="V465" s="2362" t="n"/>
      <c r="W465" s="2362" t="n"/>
      <c r="X465" s="2362" t="n"/>
      <c r="Y465" s="2362" t="n"/>
      <c r="Z465" s="2362" t="n"/>
      <c r="AA465" s="2362" t="n"/>
      <c r="AB465" s="2362" t="n"/>
      <c r="AC465" s="2362" t="n"/>
      <c r="AD465" s="2362" t="n"/>
      <c r="AE465" s="2362" t="n"/>
      <c r="AF465" s="2362" t="n"/>
      <c r="AG465" s="2362" t="n"/>
      <c r="AH465" s="2362" t="n"/>
      <c r="AI465" s="2362" t="n"/>
      <c r="AJ465" s="2362" t="n"/>
      <c r="AK465" s="2362" t="n"/>
      <c r="AL465" s="2362" t="n"/>
      <c r="AM465" s="2362" t="n"/>
      <c r="AN465" s="2362" t="n"/>
      <c r="AO465" s="2362" t="n"/>
      <c r="AP465" s="2362" t="n"/>
      <c r="AQ465" s="2362" t="n"/>
      <c r="AR465" s="2362" t="n"/>
      <c r="AS465" s="2362" t="n"/>
    </row>
    <row customHeight="1" ht="14.25" outlineLevel="1" r="466" s="1843" spans="1:57">
      <c r="A466" s="2407" t="n"/>
      <c r="B466" s="139" t="n"/>
      <c r="C466" s="2439" t="s">
        <v>216</v>
      </c>
      <c r="D466" s="1187">
        <f>D363*D$481/D$377</f>
        <v/>
      </c>
      <c r="E466" s="1187">
        <f>E363*E$481/E$377</f>
        <v/>
      </c>
      <c r="F466" s="1187">
        <f>F363*F$481/F$377</f>
        <v/>
      </c>
      <c r="G466" s="1187">
        <f>G363*G$481/G$377</f>
        <v/>
      </c>
      <c r="H466" s="1187">
        <f>H363*H$481/H$377</f>
        <v/>
      </c>
      <c r="I466" s="1187">
        <f>I363*I$481/I$377</f>
        <v/>
      </c>
      <c r="J466" s="1187">
        <f>J363*J$481/J$377</f>
        <v/>
      </c>
      <c r="K466" s="1187">
        <f>K363*K$481/K$377</f>
        <v/>
      </c>
      <c r="L466" s="1187">
        <f>L363*L$481/L$377</f>
        <v/>
      </c>
      <c r="M466" s="1187">
        <f>M363*M$481/M$377</f>
        <v/>
      </c>
      <c r="N466" s="1187">
        <f>N363*N$481/N$377</f>
        <v/>
      </c>
      <c r="O466" s="1187">
        <f>O363*O$481/O$377</f>
        <v/>
      </c>
      <c r="P466" s="1173">
        <f>SUM(D466:O466)</f>
        <v/>
      </c>
      <c r="Q466" s="2362" t="n"/>
      <c r="R466" s="2362" t="n"/>
      <c r="S466" s="2362" t="n"/>
      <c r="T466" s="2362" t="n"/>
      <c r="U466" s="2362" t="n"/>
      <c r="V466" s="2362" t="n"/>
      <c r="W466" s="2362" t="n"/>
      <c r="X466" s="2362" t="n"/>
      <c r="Y466" s="2362" t="n"/>
      <c r="Z466" s="2362" t="n"/>
      <c r="AA466" s="2362" t="n"/>
      <c r="AB466" s="2362" t="n"/>
      <c r="AC466" s="2362" t="n"/>
      <c r="AD466" s="2362" t="n"/>
      <c r="AE466" s="2362" t="n"/>
      <c r="AF466" s="2362" t="n"/>
      <c r="AG466" s="2362" t="n"/>
      <c r="AH466" s="2362" t="n"/>
      <c r="AI466" s="2362" t="n"/>
      <c r="AJ466" s="2362" t="n"/>
      <c r="AK466" s="2362" t="n"/>
      <c r="AL466" s="2362" t="n"/>
      <c r="AM466" s="2362" t="n"/>
      <c r="AN466" s="2362" t="n"/>
      <c r="AO466" s="2362" t="n"/>
      <c r="AP466" s="2362" t="n"/>
      <c r="AQ466" s="2362" t="n"/>
      <c r="AR466" s="2362" t="n"/>
      <c r="AS466" s="2362" t="n"/>
    </row>
    <row customHeight="1" ht="15" outlineLevel="1" r="467" s="1843" spans="1:57" thickBot="1">
      <c r="A467" s="2408" t="n"/>
      <c r="B467" s="70" t="s">
        <v>217</v>
      </c>
      <c r="C467" s="2406" t="n"/>
      <c r="D467" s="73">
        <f>SUM(D458:D466)</f>
        <v/>
      </c>
      <c r="E467" s="73">
        <f>SUM(E458:E466)</f>
        <v/>
      </c>
      <c r="F467" s="73">
        <f>SUM(F458:F466)</f>
        <v/>
      </c>
      <c r="G467" s="73">
        <f>SUM(G458:G466)</f>
        <v/>
      </c>
      <c r="H467" s="73">
        <f>SUM(H458:H466)</f>
        <v/>
      </c>
      <c r="I467" s="73">
        <f>SUM(I458:I466)</f>
        <v/>
      </c>
      <c r="J467" s="73">
        <f>SUM(J458:J466)</f>
        <v/>
      </c>
      <c r="K467" s="73">
        <f>SUM(K458:K466)</f>
        <v/>
      </c>
      <c r="L467" s="73">
        <f>SUM(L458:L466)</f>
        <v/>
      </c>
      <c r="M467" s="73">
        <f>SUM(M458:M466)</f>
        <v/>
      </c>
      <c r="N467" s="73">
        <f>SUM(N458:N466)</f>
        <v/>
      </c>
      <c r="O467" s="73">
        <f>SUM(O458:O466)</f>
        <v/>
      </c>
      <c r="P467" s="76">
        <f>SUM(D467:O467)</f>
        <v/>
      </c>
      <c r="R467" s="2422" t="n"/>
    </row>
    <row customFormat="1" customHeight="1" ht="15" outlineLevel="1" r="468" s="2362" spans="1:57" thickBot="1">
      <c r="A468" s="2362" t="n"/>
      <c r="B468" s="1324" t="n"/>
      <c r="C468" s="2449" t="s">
        <v>218</v>
      </c>
      <c r="D468" s="1323">
        <f>SUM(D457,D467)</f>
        <v/>
      </c>
      <c r="E468" s="1323">
        <f>SUM(E457,E467)</f>
        <v/>
      </c>
      <c r="F468" s="1323">
        <f>SUM(F457,F467)</f>
        <v/>
      </c>
      <c r="G468" s="1323">
        <f>SUM(G457,G467)</f>
        <v/>
      </c>
      <c r="H468" s="1323">
        <f>SUM(H457,H467)</f>
        <v/>
      </c>
      <c r="I468" s="1323">
        <f>SUM(I457,I467)</f>
        <v/>
      </c>
      <c r="J468" s="1323">
        <f>SUM(J457,J467)</f>
        <v/>
      </c>
      <c r="K468" s="1323">
        <f>SUM(K457,K467)</f>
        <v/>
      </c>
      <c r="L468" s="1323">
        <f>SUM(L457,L467)</f>
        <v/>
      </c>
      <c r="M468" s="1323">
        <f>SUM(M457,M467)</f>
        <v/>
      </c>
      <c r="N468" s="1323">
        <f>SUM(N457,N467)</f>
        <v/>
      </c>
      <c r="O468" s="1323">
        <f>SUM(O457,O467)</f>
        <v/>
      </c>
      <c r="P468" s="89">
        <f>SUM(P457,P467)</f>
        <v/>
      </c>
      <c r="R468" s="2362" t="n"/>
    </row>
    <row customHeight="1" ht="14.25" outlineLevel="1" r="469" s="1843" spans="1:57">
      <c r="A469" s="2392" t="s">
        <v>203</v>
      </c>
      <c r="B469" s="2395" t="n"/>
      <c r="C469" s="2413" t="s">
        <v>204</v>
      </c>
      <c r="D469" s="1218" t="n">
        <v>1</v>
      </c>
      <c r="E469" s="1218" t="n">
        <v>1</v>
      </c>
      <c r="F469" s="1218" t="n">
        <v>1</v>
      </c>
      <c r="G469" s="1218" t="n">
        <v>1</v>
      </c>
      <c r="H469" s="1218" t="n">
        <v>1</v>
      </c>
      <c r="I469" s="1218" t="n">
        <v>1</v>
      </c>
      <c r="J469" s="1218" t="n">
        <v>0</v>
      </c>
      <c r="K469" s="1218" t="n">
        <v>0</v>
      </c>
      <c r="L469" s="1218" t="n">
        <v>0</v>
      </c>
      <c r="M469" s="1218" t="n">
        <v>1</v>
      </c>
      <c r="N469" s="1218" t="n">
        <v>1</v>
      </c>
      <c r="O469" s="1218" t="n">
        <v>1</v>
      </c>
      <c r="P469" s="137" t="n"/>
      <c r="R469" s="2362" t="n"/>
    </row>
    <row customHeight="1" ht="14.25" outlineLevel="1" r="470" s="1843" spans="1:57">
      <c r="B470" s="2395" t="n"/>
      <c r="C470" s="2399" t="s">
        <v>14</v>
      </c>
      <c r="D470" s="1395" t="n">
        <v>0</v>
      </c>
      <c r="E470" s="1395" t="n">
        <v>0</v>
      </c>
      <c r="F470" s="1395" t="n">
        <v>0</v>
      </c>
      <c r="G470" s="1395" t="n">
        <v>0</v>
      </c>
      <c r="H470" s="1395" t="n">
        <v>0</v>
      </c>
      <c r="I470" s="1395" t="n">
        <v>0</v>
      </c>
      <c r="J470" s="1395" t="n">
        <v>0</v>
      </c>
      <c r="K470" s="1395" t="n">
        <v>0</v>
      </c>
      <c r="L470" s="1395" t="n">
        <v>0</v>
      </c>
      <c r="M470" s="1395" t="n">
        <v>0</v>
      </c>
      <c r="N470" s="1395" t="n">
        <v>0</v>
      </c>
      <c r="O470" s="1395" t="n">
        <v>0</v>
      </c>
      <c r="P470" s="137" t="n"/>
      <c r="R470" s="2362" t="n"/>
    </row>
    <row customHeight="1" ht="14.25" outlineLevel="1" r="471" s="1843" spans="1:57">
      <c r="B471" s="2395" t="n"/>
      <c r="C471" s="2399" t="s">
        <v>15</v>
      </c>
      <c r="D471" s="1395" t="n">
        <v>0</v>
      </c>
      <c r="E471" s="1395" t="n">
        <v>0</v>
      </c>
      <c r="F471" s="1395" t="n">
        <v>0</v>
      </c>
      <c r="G471" s="1395" t="n">
        <v>0</v>
      </c>
      <c r="H471" s="1395" t="n">
        <v>0</v>
      </c>
      <c r="I471" s="1395" t="n">
        <v>0</v>
      </c>
      <c r="J471" s="1395" t="n">
        <v>0</v>
      </c>
      <c r="K471" s="1395" t="n">
        <v>0</v>
      </c>
      <c r="L471" s="1395" t="n">
        <v>0</v>
      </c>
      <c r="M471" s="1395" t="n">
        <v>0</v>
      </c>
      <c r="N471" s="1395" t="n">
        <v>0</v>
      </c>
      <c r="O471" s="1395" t="n">
        <v>0</v>
      </c>
      <c r="P471" s="137" t="n"/>
      <c r="R471" s="2362" t="n"/>
    </row>
    <row customHeight="1" ht="14.25" outlineLevel="1" r="472" s="1843" spans="1:57">
      <c r="B472" s="2395" t="n"/>
      <c r="C472" s="2399" t="s">
        <v>16</v>
      </c>
      <c r="D472" s="1395" t="n">
        <v>0</v>
      </c>
      <c r="E472" s="1395" t="n">
        <v>0</v>
      </c>
      <c r="F472" s="1395" t="n">
        <v>0</v>
      </c>
      <c r="G472" s="1395" t="n">
        <v>0</v>
      </c>
      <c r="H472" s="1395" t="n">
        <v>0</v>
      </c>
      <c r="I472" s="1395" t="n">
        <v>0</v>
      </c>
      <c r="J472" s="1395" t="n">
        <v>0</v>
      </c>
      <c r="K472" s="1395" t="n">
        <v>0</v>
      </c>
      <c r="L472" s="1395" t="n">
        <v>0</v>
      </c>
      <c r="M472" s="1395" t="n">
        <v>0</v>
      </c>
      <c r="N472" s="1395" t="n">
        <v>0</v>
      </c>
      <c r="O472" s="1395" t="n">
        <v>0</v>
      </c>
      <c r="P472" s="137" t="n"/>
    </row>
    <row customFormat="1" customHeight="1" ht="14.25" outlineLevel="1" r="473" s="2362" spans="1:57">
      <c r="B473" s="2395" t="n"/>
      <c r="C473" s="2396" t="s">
        <v>80</v>
      </c>
      <c r="D473" s="192">
        <f>SUM(D469:D472)</f>
        <v/>
      </c>
      <c r="E473" s="192">
        <f>SUM(E469:E472)</f>
        <v/>
      </c>
      <c r="F473" s="192">
        <f>SUM(F469:F472)</f>
        <v/>
      </c>
      <c r="G473" s="192">
        <f>SUM(G469:G472)</f>
        <v/>
      </c>
      <c r="H473" s="192">
        <f>SUM(H469:H472)</f>
        <v/>
      </c>
      <c r="I473" s="192">
        <f>SUM(I469:I472)</f>
        <v/>
      </c>
      <c r="J473" s="192">
        <f>SUM(J469:J472)</f>
        <v/>
      </c>
      <c r="K473" s="192">
        <f>SUM(K469:K472)</f>
        <v/>
      </c>
      <c r="L473" s="192">
        <f>SUM(L469:L472)</f>
        <v/>
      </c>
      <c r="M473" s="192">
        <f>SUM(M469:M472)</f>
        <v/>
      </c>
      <c r="N473" s="192">
        <f>SUM(N469:N472)</f>
        <v/>
      </c>
      <c r="O473" s="1243">
        <f>SUM(O469:O472)</f>
        <v/>
      </c>
      <c r="P473" s="137" t="n"/>
    </row>
    <row customFormat="1" customHeight="1" ht="14.25" outlineLevel="1" r="474" s="2362" spans="1:57">
      <c r="B474" s="2395" t="n"/>
      <c r="C474" s="2396" t="s">
        <v>206</v>
      </c>
      <c r="D474" s="1234" t="n">
        <v>0</v>
      </c>
      <c r="E474" s="1234" t="n">
        <v>0</v>
      </c>
      <c r="F474" s="1234" t="n">
        <v>0</v>
      </c>
      <c r="G474" s="1234" t="n">
        <v>0</v>
      </c>
      <c r="H474" s="1234" t="n">
        <v>0</v>
      </c>
      <c r="I474" s="1234" t="n">
        <v>0</v>
      </c>
      <c r="J474" s="1234" t="n">
        <v>0</v>
      </c>
      <c r="K474" s="1234" t="n">
        <v>0</v>
      </c>
      <c r="L474" s="1234" t="n">
        <v>0</v>
      </c>
      <c r="M474" s="1234" t="n">
        <v>0</v>
      </c>
      <c r="N474" s="1234" t="n">
        <v>0</v>
      </c>
      <c r="O474" s="1234" t="n">
        <v>0</v>
      </c>
      <c r="P474" s="1240" t="n"/>
    </row>
    <row customFormat="1" customHeight="1" ht="14.25" outlineLevel="1" r="475" s="2362" spans="1:57">
      <c r="B475" s="2395" t="n"/>
      <c r="C475" s="2397" t="s">
        <v>207</v>
      </c>
      <c r="D475" s="1251">
        <f>D473-D474</f>
        <v/>
      </c>
      <c r="E475" s="1251">
        <f>E473-E474</f>
        <v/>
      </c>
      <c r="F475" s="1251">
        <f>F473-F474</f>
        <v/>
      </c>
      <c r="G475" s="1251">
        <f>G473-G474</f>
        <v/>
      </c>
      <c r="H475" s="1251">
        <f>H473-H474</f>
        <v/>
      </c>
      <c r="I475" s="1251">
        <f>I473-I474</f>
        <v/>
      </c>
      <c r="J475" s="1251">
        <f>J473-J474</f>
        <v/>
      </c>
      <c r="K475" s="1251">
        <f>K473-K474</f>
        <v/>
      </c>
      <c r="L475" s="1251">
        <f>L473-L474</f>
        <v/>
      </c>
      <c r="M475" s="1251">
        <f>M473-M474</f>
        <v/>
      </c>
      <c r="N475" s="1251">
        <f>N473-N474</f>
        <v/>
      </c>
      <c r="O475" s="1251">
        <f>O473-O474</f>
        <v/>
      </c>
      <c r="P475" s="1216" t="n"/>
    </row>
    <row customHeight="1" ht="14.25" outlineLevel="1" r="476" s="1843" spans="1:57">
      <c r="A476" s="2434" t="s">
        <v>157</v>
      </c>
      <c r="B476" s="2395" t="n"/>
      <c r="C476" s="2441" t="s">
        <v>208</v>
      </c>
      <c r="D476" s="1247" t="n"/>
      <c r="E476" s="1247" t="n"/>
      <c r="F476" s="1247" t="n"/>
      <c r="G476" s="1247" t="n"/>
      <c r="H476" s="1247" t="n"/>
      <c r="I476" s="1247" t="n"/>
      <c r="J476" s="1247" t="n"/>
      <c r="K476" s="1247" t="n"/>
      <c r="L476" s="1247" t="n"/>
      <c r="M476" s="1247" t="n"/>
      <c r="N476" s="1247" t="n"/>
      <c r="O476" s="1248" t="n"/>
      <c r="P476" s="1216" t="n"/>
      <c r="R476" s="2362" t="n"/>
    </row>
    <row customHeight="1" ht="14.25" outlineLevel="1" r="477" s="1843" spans="1:57">
      <c r="B477" s="2395" t="n"/>
      <c r="C477" s="2442" t="s">
        <v>209</v>
      </c>
      <c r="D477" s="1395">
        <f>SUMPRODUCT(('FY18 SET'!$B$4:$B67=$A$451)*('FY18 SET'!$F$4:$F67="实际OS")*('FY18 SET'!G$4:G$67))</f>
        <v/>
      </c>
      <c r="E477" s="1395">
        <f>SUMPRODUCT(('FY18 SET'!$B$4:$B67=$A$451)*('FY18 SET'!$F$4:$F67="实际OS")*('FY18 SET'!H$4:H$67))</f>
        <v/>
      </c>
      <c r="F477" s="1395">
        <f>SUMPRODUCT(('FY18 SET'!$B$4:$B67=$A$451)*('FY18 SET'!$F$4:$F67="实际OS")*('FY18 SET'!I$4:I$67))</f>
        <v/>
      </c>
      <c r="G477" s="1395">
        <f>SUMPRODUCT(('FY18 SET'!$B$4:$B67=$A$451)*('FY18 SET'!$F$4:$F67="实际OS")*('FY18 SET'!J$4:J$67))</f>
        <v/>
      </c>
      <c r="H477" s="1395">
        <f>SUMPRODUCT(('FY18 SET'!$B$4:$B67=$A$451)*('FY18 SET'!$F$4:$F67="实际OS")*('FY18 SET'!K$4:K$67))</f>
        <v/>
      </c>
      <c r="I477" s="1395">
        <f>SUMPRODUCT(('FY18 SET'!$B$4:$B67=$A$451)*('FY18 SET'!$F$4:$F67="实际OS")*('FY18 SET'!L$4:L$67))</f>
        <v/>
      </c>
      <c r="J477" s="1395">
        <f>SUMPRODUCT(('FY18 SET'!$B$4:$B67=$A$451)*('FY18 SET'!$F$4:$F67="实际OS")*('FY18 SET'!N$4:N$67))</f>
        <v/>
      </c>
      <c r="K477" s="1395">
        <f>SUMPRODUCT(('FY18 SET'!$B$4:$B67=$A$451)*('FY18 SET'!$F$4:$F67="实际OS")*('FY18 SET'!O$4:O$67))</f>
        <v/>
      </c>
      <c r="L477" s="1395">
        <f>SUMPRODUCT(('FY18 SET'!$B$4:$B67=$A$451)*('FY18 SET'!$F$4:$F67="实际OS")*('FY18 SET'!P$4:P$67))</f>
        <v/>
      </c>
      <c r="M477" s="1395">
        <f>SUMPRODUCT(('FY18 SET'!$B$4:$B67=$A$451)*('FY18 SET'!$F$4:$F67="实际OS")*('FY18 SET'!Q$4:Q$67))</f>
        <v/>
      </c>
      <c r="N477" s="1395">
        <f>SUMPRODUCT(('FY18 SET'!$B$4:$B67=$A$451)*('FY18 SET'!$F$4:$F67="实际OS")*('FY18 SET'!R$4:R$67))</f>
        <v/>
      </c>
      <c r="O477" s="1395">
        <f>SUMPRODUCT(('FY18 SET'!$B$4:$B67=$A$451)*('FY18 SET'!$F$4:$F67="实际OS")*('FY18 SET'!S$4:S$67))</f>
        <v/>
      </c>
      <c r="P477" s="1216" t="n"/>
      <c r="R477" s="2362" t="n"/>
    </row>
    <row customHeight="1" ht="14.25" outlineLevel="1" r="478" s="1843" spans="1:57">
      <c r="B478" s="2395" t="n"/>
      <c r="C478" s="2443" t="s">
        <v>211</v>
      </c>
      <c r="D478" s="1233">
        <f>SUM(D476:D477)</f>
        <v/>
      </c>
      <c r="E478" s="1233">
        <f>SUM(E476:E477)</f>
        <v/>
      </c>
      <c r="F478" s="1233">
        <f>SUM(F476:F477)</f>
        <v/>
      </c>
      <c r="G478" s="1233">
        <f>SUM(G476:G477)</f>
        <v/>
      </c>
      <c r="H478" s="1233">
        <f>SUM(H476:H477)</f>
        <v/>
      </c>
      <c r="I478" s="1233">
        <f>SUM(I476:I477)</f>
        <v/>
      </c>
      <c r="J478" s="1233">
        <f>SUM(J476:J477)</f>
        <v/>
      </c>
      <c r="K478" s="1233">
        <f>SUM(K476:K477)</f>
        <v/>
      </c>
      <c r="L478" s="1233">
        <f>SUM(L476:L477)</f>
        <v/>
      </c>
      <c r="M478" s="1233">
        <f>SUM(M476:M477)</f>
        <v/>
      </c>
      <c r="N478" s="1233">
        <f>SUM(N476:N477)</f>
        <v/>
      </c>
      <c r="O478" s="1250">
        <f>SUM(O476:O477)</f>
        <v/>
      </c>
      <c r="P478" s="1216" t="n"/>
    </row>
    <row customFormat="1" customHeight="1" ht="14.25" outlineLevel="1" r="479" s="2362" spans="1:57">
      <c r="A479" s="2416" t="s">
        <v>219</v>
      </c>
      <c r="B479" s="2417" t="n"/>
      <c r="C479" s="2444" t="s">
        <v>220</v>
      </c>
      <c r="D479" s="1278">
        <f>SUM(D474,D476)</f>
        <v/>
      </c>
      <c r="E479" s="1270">
        <f>SUM(E474,E476)</f>
        <v/>
      </c>
      <c r="F479" s="1270">
        <f>SUM(F474,F476)</f>
        <v/>
      </c>
      <c r="G479" s="1270">
        <f>SUM(G474,G476)</f>
        <v/>
      </c>
      <c r="H479" s="1270">
        <f>SUM(H474,H476)</f>
        <v/>
      </c>
      <c r="I479" s="1270">
        <f>SUM(I474,I476)</f>
        <v/>
      </c>
      <c r="J479" s="1270">
        <f>SUM(J474,J476)</f>
        <v/>
      </c>
      <c r="K479" s="1270">
        <f>SUM(K474,K476)</f>
        <v/>
      </c>
      <c r="L479" s="1270">
        <f>SUM(L474,L476)</f>
        <v/>
      </c>
      <c r="M479" s="1270">
        <f>SUM(M474,M476)</f>
        <v/>
      </c>
      <c r="N479" s="1270">
        <f>SUM(N474,N476)</f>
        <v/>
      </c>
      <c r="O479" s="1271">
        <f>SUM(O474,O476)</f>
        <v/>
      </c>
      <c r="P479" s="137" t="n"/>
    </row>
    <row customFormat="1" customHeight="1" ht="14.25" outlineLevel="1" r="480" s="2362" spans="1:57">
      <c r="B480" s="2419" t="n"/>
      <c r="C480" s="2446" t="s">
        <v>221</v>
      </c>
      <c r="D480" s="1279">
        <f>SUM(D475,D477)</f>
        <v/>
      </c>
      <c r="E480" s="140">
        <f>SUM(E475,E477)</f>
        <v/>
      </c>
      <c r="F480" s="140">
        <f>SUM(F475,F477)</f>
        <v/>
      </c>
      <c r="G480" s="140">
        <f>SUM(G475,G477)</f>
        <v/>
      </c>
      <c r="H480" s="140">
        <f>SUM(H475,H477)</f>
        <v/>
      </c>
      <c r="I480" s="140">
        <f>SUM(I475,I477)</f>
        <v/>
      </c>
      <c r="J480" s="140">
        <f>SUM(J475,J477)</f>
        <v/>
      </c>
      <c r="K480" s="140">
        <f>SUM(K475,K477)</f>
        <v/>
      </c>
      <c r="L480" s="140">
        <f>SUM(L475,L477)</f>
        <v/>
      </c>
      <c r="M480" s="140">
        <f>SUM(M475,M477)</f>
        <v/>
      </c>
      <c r="N480" s="140">
        <f>SUM(N475,N477)</f>
        <v/>
      </c>
      <c r="O480" s="1273">
        <f>SUM(O475,O477)</f>
        <v/>
      </c>
      <c r="P480" s="137" t="n"/>
    </row>
    <row customFormat="1" customHeight="1" ht="14.25" outlineLevel="1" r="481" s="2362" spans="1:57">
      <c r="B481" s="1274" t="n"/>
      <c r="C481" s="2447" t="s">
        <v>222</v>
      </c>
      <c r="D481" s="1280">
        <f>SUM(D479:D480)</f>
        <v/>
      </c>
      <c r="E481" s="1276">
        <f>SUM(E479:E480)</f>
        <v/>
      </c>
      <c r="F481" s="1276">
        <f>SUM(F479:F480)</f>
        <v/>
      </c>
      <c r="G481" s="1276">
        <f>SUM(G479:G480)</f>
        <v/>
      </c>
      <c r="H481" s="1276">
        <f>SUM(H479:H480)</f>
        <v/>
      </c>
      <c r="I481" s="1276">
        <f>SUM(I479:I480)</f>
        <v/>
      </c>
      <c r="J481" s="1276">
        <f>SUM(J479:J480)</f>
        <v/>
      </c>
      <c r="K481" s="1276">
        <f>SUM(K479:K480)</f>
        <v/>
      </c>
      <c r="L481" s="1276">
        <f>SUM(L479:L480)</f>
        <v/>
      </c>
      <c r="M481" s="1276">
        <f>SUM(M479:M480)</f>
        <v/>
      </c>
      <c r="N481" s="1276">
        <f>SUM(N479:N480)</f>
        <v/>
      </c>
      <c r="O481" s="1277">
        <f>SUM(O479:O480)</f>
        <v/>
      </c>
      <c r="P481" s="137" t="n"/>
    </row>
    <row customHeight="1" ht="14.25" r="482" s="1843" spans="1:57">
      <c r="A482" s="2422" t="n"/>
      <c r="C482" s="2401" t="n"/>
      <c r="D482" s="62" t="n"/>
      <c r="E482" s="126" t="n"/>
      <c r="F482" s="62" t="n"/>
      <c r="G482" s="62" t="n"/>
      <c r="H482" s="62" t="n"/>
      <c r="I482" s="62" t="n"/>
      <c r="J482" s="62" t="n"/>
      <c r="K482" s="62" t="n"/>
      <c r="L482" s="62" t="n"/>
      <c r="M482" s="62" t="n"/>
      <c r="N482" s="62" t="n"/>
      <c r="O482" s="62" t="n"/>
      <c r="P482" s="2422" t="n"/>
      <c r="Q482" s="2362" t="n"/>
      <c r="R482" s="2362" t="n"/>
      <c r="S482" s="2362" t="n"/>
      <c r="T482" s="2362" t="n"/>
      <c r="U482" s="2362" t="n"/>
      <c r="V482" s="2362" t="n"/>
      <c r="W482" s="2362" t="n"/>
      <c r="X482" s="2362" t="n"/>
      <c r="Y482" s="2362" t="n"/>
      <c r="Z482" s="2362" t="n"/>
      <c r="AA482" s="2362" t="n"/>
      <c r="AB482" s="2362" t="n"/>
      <c r="AC482" s="2362" t="n"/>
      <c r="AD482" s="2362" t="n"/>
      <c r="AE482" s="2362" t="n"/>
    </row>
    <row customFormat="1" customHeight="1" ht="14.25" r="483" s="2362" spans="1:57">
      <c r="A483" s="2422" t="n"/>
      <c r="B483" s="1324" t="n"/>
      <c r="C483" s="2401" t="n"/>
      <c r="D483" s="62" t="n"/>
      <c r="E483" s="126" t="n"/>
      <c r="F483" s="62" t="n"/>
      <c r="G483" s="62" t="n"/>
      <c r="H483" s="62" t="n"/>
      <c r="I483" s="62" t="n"/>
      <c r="J483" s="62" t="n"/>
      <c r="K483" s="62" t="n"/>
      <c r="L483" s="62" t="n"/>
      <c r="M483" s="62" t="n"/>
      <c r="N483" s="62" t="n"/>
      <c r="O483" s="62" t="n"/>
      <c r="P483" s="2422" t="n"/>
      <c r="Q483" s="2362" t="n"/>
      <c r="R483" s="2362" t="n"/>
      <c r="S483" s="2362" t="n"/>
      <c r="T483" s="2362" t="n"/>
      <c r="U483" s="2362" t="n"/>
      <c r="V483" s="2362" t="n"/>
      <c r="W483" s="2362" t="n"/>
      <c r="X483" s="2362" t="n"/>
      <c r="Y483" s="2362" t="n"/>
      <c r="Z483" s="2362" t="n"/>
      <c r="AA483" s="2362" t="n"/>
      <c r="AB483" s="2362" t="n"/>
      <c r="AC483" s="2362" t="n"/>
      <c r="AD483" s="2362" t="n"/>
      <c r="AE483" s="2362" t="n"/>
    </row>
    <row customFormat="1" customHeight="1" ht="15.75" r="484" s="2362" spans="1:57">
      <c r="A484" s="2457" t="n"/>
      <c r="B484" s="135" t="n"/>
      <c r="C484" s="2371" t="n"/>
      <c r="D484" s="2372" t="n">
        <v>43191</v>
      </c>
      <c r="E484" s="2372" t="n">
        <v>43221</v>
      </c>
      <c r="F484" s="2372" t="n">
        <v>43252</v>
      </c>
      <c r="G484" s="2372" t="n">
        <v>43282</v>
      </c>
      <c r="H484" s="2372" t="n">
        <v>43313</v>
      </c>
      <c r="I484" s="2372" t="n">
        <v>43344</v>
      </c>
      <c r="J484" s="2372" t="n">
        <v>43374</v>
      </c>
      <c r="K484" s="2372" t="n">
        <v>43405</v>
      </c>
      <c r="L484" s="2372" t="n">
        <v>43435</v>
      </c>
      <c r="M484" s="2372" t="n">
        <v>43466</v>
      </c>
      <c r="N484" s="2372" t="n">
        <v>43497</v>
      </c>
      <c r="O484" s="2372" t="n">
        <v>43525</v>
      </c>
      <c r="P484" s="2373" t="s">
        <v>55</v>
      </c>
      <c r="R484" s="2374" t="s">
        <v>185</v>
      </c>
      <c r="S484" s="2362" t="n"/>
    </row>
    <row customFormat="1" customHeight="1" ht="15.75" r="485" s="2362" spans="1:57">
      <c r="A485" s="2375" t="s">
        <v>234</v>
      </c>
      <c r="B485" s="64" t="n"/>
      <c r="C485" s="2376" t="s">
        <v>187</v>
      </c>
      <c r="D485" s="1381">
        <f>CFG!E182</f>
        <v/>
      </c>
      <c r="E485" s="1381">
        <f>CFG!F182</f>
        <v/>
      </c>
      <c r="F485" s="1381">
        <f>CFG!G182</f>
        <v/>
      </c>
      <c r="G485" s="1381">
        <f>CFG!H182</f>
        <v/>
      </c>
      <c r="H485" s="1381">
        <f>CFG!I182</f>
        <v/>
      </c>
      <c r="I485" s="1381">
        <f>CFG!J182</f>
        <v/>
      </c>
      <c r="J485" s="1381">
        <f>CFG!K182</f>
        <v/>
      </c>
      <c r="K485" s="1381">
        <f>CFG!L182</f>
        <v/>
      </c>
      <c r="L485" s="1381">
        <f>CFG!M182</f>
        <v/>
      </c>
      <c r="M485" s="1381">
        <f>CFG!N182</f>
        <v/>
      </c>
      <c r="N485" s="1381">
        <f>CFG!O182</f>
        <v/>
      </c>
      <c r="O485" s="1381">
        <f>CFG!P182</f>
        <v/>
      </c>
      <c r="P485" s="49">
        <f>SUM(D485:O485)</f>
        <v/>
      </c>
      <c r="Q485" s="2377">
        <f>CFG!Q182</f>
        <v/>
      </c>
      <c r="R485" s="2428">
        <f>SUM(P519,P554)</f>
        <v/>
      </c>
      <c r="S485" s="2402">
        <f>R485-P485</f>
        <v/>
      </c>
    </row>
    <row customFormat="1" customHeight="1" ht="18" r="486" s="2362" spans="1:57">
      <c r="A486" s="2378" t="s">
        <v>235</v>
      </c>
      <c r="B486" s="66" t="n"/>
      <c r="C486" s="2379" t="s">
        <v>189</v>
      </c>
      <c r="D486" s="1380">
        <f>CFG!E183</f>
        <v/>
      </c>
      <c r="E486" s="1380">
        <f>CFG!F183</f>
        <v/>
      </c>
      <c r="F486" s="1380">
        <f>CFG!G183</f>
        <v/>
      </c>
      <c r="G486" s="1380">
        <f>CFG!H183</f>
        <v/>
      </c>
      <c r="H486" s="1380">
        <f>CFG!I183</f>
        <v/>
      </c>
      <c r="I486" s="1380">
        <f>CFG!J183</f>
        <v/>
      </c>
      <c r="J486" s="1380">
        <f>CFG!K183</f>
        <v/>
      </c>
      <c r="K486" s="1380">
        <f>CFG!L183</f>
        <v/>
      </c>
      <c r="L486" s="1380">
        <f>CFG!M183</f>
        <v/>
      </c>
      <c r="M486" s="1380">
        <f>CFG!N183</f>
        <v/>
      </c>
      <c r="N486" s="1380">
        <f>CFG!O183</f>
        <v/>
      </c>
      <c r="O486" s="1380">
        <f>CFG!P183</f>
        <v/>
      </c>
      <c r="P486" s="46">
        <f>SUM(D486:O486)</f>
        <v/>
      </c>
      <c r="Q486" s="2377">
        <f>CFG!Q183</f>
        <v/>
      </c>
      <c r="R486" s="2428">
        <f>SUM(P520,P555)</f>
        <v/>
      </c>
      <c r="S486" s="2402">
        <f>R486-P486</f>
        <v/>
      </c>
    </row>
    <row customFormat="1" customHeight="1" ht="18" r="487" s="2362" spans="1:57">
      <c r="A487" s="2378" t="n"/>
      <c r="B487" s="66" t="n"/>
      <c r="C487" s="2379" t="s">
        <v>190</v>
      </c>
      <c r="D487" s="9">
        <f>CFG!E184</f>
        <v/>
      </c>
      <c r="E487" s="9">
        <f>CFG!F184</f>
        <v/>
      </c>
      <c r="F487" s="9">
        <f>CFG!G184</f>
        <v/>
      </c>
      <c r="G487" s="9">
        <f>CFG!H184</f>
        <v/>
      </c>
      <c r="H487" s="9">
        <f>CFG!I184</f>
        <v/>
      </c>
      <c r="I487" s="9">
        <f>CFG!J184</f>
        <v/>
      </c>
      <c r="J487" s="9">
        <f>CFG!K184</f>
        <v/>
      </c>
      <c r="K487" s="9">
        <f>CFG!L184</f>
        <v/>
      </c>
      <c r="L487" s="9">
        <f>CFG!M184</f>
        <v/>
      </c>
      <c r="M487" s="9">
        <f>CFG!N184</f>
        <v/>
      </c>
      <c r="N487" s="9">
        <f>CFG!O184</f>
        <v/>
      </c>
      <c r="O487" s="9">
        <f>CFG!P184</f>
        <v/>
      </c>
      <c r="P487" s="46">
        <f>SUM(D487:O487)</f>
        <v/>
      </c>
      <c r="Q487" s="2377">
        <f>CFG!Q184</f>
        <v/>
      </c>
      <c r="R487" s="2428">
        <f>SUM(P521,P556)</f>
        <v/>
      </c>
      <c r="S487" s="2402">
        <f>R487-P487</f>
        <v/>
      </c>
    </row>
    <row customFormat="1" customHeight="1" ht="18" r="488" s="2362" spans="1:57">
      <c r="A488" s="2378" t="n"/>
      <c r="B488" s="66" t="n"/>
      <c r="C488" s="2379" t="s">
        <v>191</v>
      </c>
      <c r="D488" s="9">
        <f>CFG!E185</f>
        <v/>
      </c>
      <c r="E488" s="9">
        <f>CFG!F185</f>
        <v/>
      </c>
      <c r="F488" s="9">
        <f>CFG!G185</f>
        <v/>
      </c>
      <c r="G488" s="9">
        <f>CFG!H185</f>
        <v/>
      </c>
      <c r="H488" s="9">
        <f>CFG!I185</f>
        <v/>
      </c>
      <c r="I488" s="9">
        <f>CFG!J185</f>
        <v/>
      </c>
      <c r="J488" s="9">
        <f>CFG!K185</f>
        <v/>
      </c>
      <c r="K488" s="9">
        <f>CFG!L185</f>
        <v/>
      </c>
      <c r="L488" s="9">
        <f>CFG!M185</f>
        <v/>
      </c>
      <c r="M488" s="9">
        <f>CFG!N185</f>
        <v/>
      </c>
      <c r="N488" s="9">
        <f>CFG!O185</f>
        <v/>
      </c>
      <c r="O488" s="9">
        <f>CFG!P185</f>
        <v/>
      </c>
      <c r="P488" s="46">
        <f>SUM(D488:O488)</f>
        <v/>
      </c>
      <c r="Q488" s="2377">
        <f>CFG!Q185</f>
        <v/>
      </c>
      <c r="R488" s="2428">
        <f>SUM(P522,P557)</f>
        <v/>
      </c>
      <c r="S488" s="2402">
        <f>R488-P488</f>
        <v/>
      </c>
    </row>
    <row customFormat="1" customHeight="1" ht="14.25" r="489" s="2362" spans="1:57">
      <c r="A489" s="2381" t="n"/>
      <c r="B489" s="66" t="n"/>
      <c r="C489" s="2379" t="s">
        <v>192</v>
      </c>
      <c r="D489" s="1380">
        <f>CFG!E186</f>
        <v/>
      </c>
      <c r="E489" s="1380">
        <f>CFG!F186</f>
        <v/>
      </c>
      <c r="F489" s="1380">
        <f>CFG!G186</f>
        <v/>
      </c>
      <c r="G489" s="1380">
        <f>CFG!H186</f>
        <v/>
      </c>
      <c r="H489" s="1380">
        <f>CFG!I186</f>
        <v/>
      </c>
      <c r="I489" s="1380">
        <f>CFG!J186</f>
        <v/>
      </c>
      <c r="J489" s="1380">
        <f>CFG!K186</f>
        <v/>
      </c>
      <c r="K489" s="1380">
        <f>CFG!L186</f>
        <v/>
      </c>
      <c r="L489" s="1380">
        <f>CFG!M186</f>
        <v/>
      </c>
      <c r="M489" s="1380">
        <f>CFG!N186</f>
        <v/>
      </c>
      <c r="N489" s="1380">
        <f>CFG!O186</f>
        <v/>
      </c>
      <c r="O489" s="1380">
        <f>CFG!P186</f>
        <v/>
      </c>
      <c r="P489" s="46">
        <f>SUM(D489:O489)</f>
        <v/>
      </c>
      <c r="Q489" s="2377">
        <f>CFG!Q186</f>
        <v/>
      </c>
      <c r="R489" s="2428">
        <f>SUM(P523,P558)</f>
        <v/>
      </c>
      <c r="S489" s="2402">
        <f>R489-P489</f>
        <v/>
      </c>
    </row>
    <row customFormat="1" customHeight="1" ht="14.25" r="490" s="2362" spans="1:57">
      <c r="A490" s="2381" t="n"/>
      <c r="B490" s="66" t="n"/>
      <c r="C490" s="2379" t="s">
        <v>213</v>
      </c>
      <c r="D490" s="1380">
        <f>CFG!E188</f>
        <v/>
      </c>
      <c r="E490" s="1380">
        <f>CFG!F188</f>
        <v/>
      </c>
      <c r="F490" s="1380">
        <f>CFG!G188</f>
        <v/>
      </c>
      <c r="G490" s="1380">
        <f>CFG!H188</f>
        <v/>
      </c>
      <c r="H490" s="1380">
        <f>CFG!I188</f>
        <v/>
      </c>
      <c r="I490" s="1380">
        <f>CFG!J188</f>
        <v/>
      </c>
      <c r="J490" s="1380">
        <f>CFG!K188</f>
        <v/>
      </c>
      <c r="K490" s="1380">
        <f>CFG!L188</f>
        <v/>
      </c>
      <c r="L490" s="1380">
        <f>CFG!M188</f>
        <v/>
      </c>
      <c r="M490" s="1380">
        <f>CFG!N188</f>
        <v/>
      </c>
      <c r="N490" s="1380">
        <f>CFG!O188</f>
        <v/>
      </c>
      <c r="O490" s="1380">
        <f>CFG!P188</f>
        <v/>
      </c>
      <c r="P490" s="46">
        <f>SUM(D490:O490)</f>
        <v/>
      </c>
      <c r="Q490" s="2377">
        <f>CFG!Q188</f>
        <v/>
      </c>
      <c r="R490" s="2428">
        <f>SUM(P524,P559)</f>
        <v/>
      </c>
      <c r="S490" s="2402">
        <f>R490-P490</f>
        <v/>
      </c>
    </row>
    <row customFormat="1" customHeight="1" ht="14.25" r="491" s="2362" spans="1:57">
      <c r="A491" s="2381" t="n"/>
      <c r="B491" s="69" t="n"/>
      <c r="C491" s="2383" t="s">
        <v>195</v>
      </c>
      <c r="D491" s="97">
        <f>SUM(CFG!E191:E192)</f>
        <v/>
      </c>
      <c r="E491" s="97">
        <f>SUM(CFG!F191:F192)</f>
        <v/>
      </c>
      <c r="F491" s="97">
        <f>SUM(CFG!G191:G192)</f>
        <v/>
      </c>
      <c r="G491" s="97">
        <f>SUM(CFG!H191:H192)</f>
        <v/>
      </c>
      <c r="H491" s="97">
        <f>SUM(CFG!I191:I192)</f>
        <v/>
      </c>
      <c r="I491" s="97">
        <f>SUM(CFG!J191:J192)</f>
        <v/>
      </c>
      <c r="J491" s="97">
        <f>SUM(CFG!K191:K192)</f>
        <v/>
      </c>
      <c r="K491" s="97">
        <f>SUM(CFG!L191:L192)</f>
        <v/>
      </c>
      <c r="L491" s="97">
        <f>SUM(CFG!M191:M192)</f>
        <v/>
      </c>
      <c r="M491" s="97">
        <f>SUM(CFG!N191:N192)</f>
        <v/>
      </c>
      <c r="N491" s="97">
        <f>SUM(CFG!O191:O192)</f>
        <v/>
      </c>
      <c r="O491" s="97">
        <f>SUM(CFG!P191:P192)</f>
        <v/>
      </c>
      <c r="P491" s="95">
        <f>SUM(D491:O491)</f>
        <v/>
      </c>
      <c r="Q491" s="2377">
        <f>SUM(CFG!Q189:Q192)</f>
        <v/>
      </c>
      <c r="R491" s="2428">
        <f>SUM(P525,P560)</f>
        <v/>
      </c>
      <c r="S491" s="2402">
        <f>R491-P491</f>
        <v/>
      </c>
    </row>
    <row customFormat="1" customHeight="1" ht="14.25" r="492" s="2362" spans="1:57">
      <c r="A492" s="2408" t="n"/>
      <c r="B492" s="70" t="s">
        <v>214</v>
      </c>
      <c r="C492" s="2458" t="n"/>
      <c r="D492" s="73">
        <f>SUM(D485:D491)</f>
        <v/>
      </c>
      <c r="E492" s="74">
        <f>SUM(E485:E491)</f>
        <v/>
      </c>
      <c r="F492" s="74">
        <f>SUM(F485:F491)</f>
        <v/>
      </c>
      <c r="G492" s="74">
        <f>SUM(G485:G491)</f>
        <v/>
      </c>
      <c r="H492" s="74">
        <f>SUM(H485:H491)</f>
        <v/>
      </c>
      <c r="I492" s="74">
        <f>SUM(I485:I491)</f>
        <v/>
      </c>
      <c r="J492" s="74">
        <f>SUM(J485:J491)</f>
        <v/>
      </c>
      <c r="K492" s="74">
        <f>SUM(K485:K491)</f>
        <v/>
      </c>
      <c r="L492" s="74">
        <f>SUM(L485:L491)</f>
        <v/>
      </c>
      <c r="M492" s="74">
        <f>SUM(M485:M491)</f>
        <v/>
      </c>
      <c r="N492" s="74">
        <f>SUM(N485:N491)</f>
        <v/>
      </c>
      <c r="O492" s="75">
        <f>SUM(O485:O491)</f>
        <v/>
      </c>
      <c r="P492" s="76">
        <f>SUM(D492:O492)</f>
        <v/>
      </c>
      <c r="Q492" s="2377" t="n"/>
      <c r="R492" s="2428" t="n"/>
      <c r="S492" s="2402" t="n"/>
    </row>
    <row customFormat="1" customHeight="1" ht="14.25" r="493" s="2362" spans="1:57">
      <c r="A493" s="2407" t="n"/>
      <c r="B493" s="123" t="n"/>
      <c r="C493" s="2385" t="s">
        <v>161</v>
      </c>
      <c r="D493" s="88">
        <f>CFG!E197</f>
        <v/>
      </c>
      <c r="E493" s="88">
        <f>CFG!F197</f>
        <v/>
      </c>
      <c r="F493" s="88">
        <f>CFG!G197</f>
        <v/>
      </c>
      <c r="G493" s="88">
        <f>CFG!H197</f>
        <v/>
      </c>
      <c r="H493" s="88">
        <f>CFG!I197</f>
        <v/>
      </c>
      <c r="I493" s="88">
        <f>CFG!J197</f>
        <v/>
      </c>
      <c r="J493" s="88">
        <f>CFG!K197</f>
        <v/>
      </c>
      <c r="K493" s="88">
        <f>CFG!L197</f>
        <v/>
      </c>
      <c r="L493" s="88">
        <f>CFG!M197</f>
        <v/>
      </c>
      <c r="M493" s="88">
        <f>CFG!N197</f>
        <v/>
      </c>
      <c r="N493" s="88">
        <f>CFG!O197</f>
        <v/>
      </c>
      <c r="O493" s="88">
        <f>CFG!P197</f>
        <v/>
      </c>
      <c r="P493" s="85">
        <f>SUM(D493:O493)</f>
        <v/>
      </c>
      <c r="Q493" s="2377">
        <f>CFG!Q197</f>
        <v/>
      </c>
      <c r="R493" s="2428">
        <f>SUM(P527,P562)</f>
        <v/>
      </c>
      <c r="S493" s="2402">
        <f>R493-P493</f>
        <v/>
      </c>
    </row>
    <row customFormat="1" customHeight="1" ht="14.25" r="494" s="2362" spans="1:57">
      <c r="A494" s="2407" t="n"/>
      <c r="B494" s="123" t="n"/>
      <c r="C494" s="2459" t="s">
        <v>215</v>
      </c>
      <c r="D494" s="88">
        <f>CFG!E198</f>
        <v/>
      </c>
      <c r="E494" s="88">
        <f>CFG!F198</f>
        <v/>
      </c>
      <c r="F494" s="88">
        <f>CFG!G198</f>
        <v/>
      </c>
      <c r="G494" s="88">
        <f>CFG!H198</f>
        <v/>
      </c>
      <c r="H494" s="88">
        <f>CFG!I198</f>
        <v/>
      </c>
      <c r="I494" s="88">
        <f>CFG!J198</f>
        <v/>
      </c>
      <c r="J494" s="88">
        <f>CFG!K198</f>
        <v/>
      </c>
      <c r="K494" s="88">
        <f>CFG!L198</f>
        <v/>
      </c>
      <c r="L494" s="88">
        <f>CFG!M198</f>
        <v/>
      </c>
      <c r="M494" s="88">
        <f>CFG!N198</f>
        <v/>
      </c>
      <c r="N494" s="88">
        <f>CFG!O198</f>
        <v/>
      </c>
      <c r="O494" s="88">
        <f>CFG!P198</f>
        <v/>
      </c>
      <c r="P494" s="85">
        <f>SUM(D494:O494)</f>
        <v/>
      </c>
      <c r="Q494" s="2377">
        <f>CFG!Q198</f>
        <v/>
      </c>
      <c r="R494" s="2428">
        <f>SUM(P528,P563)</f>
        <v/>
      </c>
      <c r="S494" s="2402">
        <f>R494-P494</f>
        <v/>
      </c>
    </row>
    <row customFormat="1" customHeight="1" ht="14.25" r="495" s="2362" spans="1:57">
      <c r="A495" s="2407" t="n"/>
      <c r="B495" s="123" t="n"/>
      <c r="C495" s="2459" t="s">
        <v>197</v>
      </c>
      <c r="D495" s="88">
        <f>CFG!E196</f>
        <v/>
      </c>
      <c r="E495" s="88">
        <f>CFG!F196</f>
        <v/>
      </c>
      <c r="F495" s="88">
        <f>CFG!G196</f>
        <v/>
      </c>
      <c r="G495" s="88">
        <f>CFG!H196</f>
        <v/>
      </c>
      <c r="H495" s="88">
        <f>CFG!I196</f>
        <v/>
      </c>
      <c r="I495" s="88">
        <f>CFG!J196</f>
        <v/>
      </c>
      <c r="J495" s="88">
        <f>CFG!K196</f>
        <v/>
      </c>
      <c r="K495" s="88">
        <f>CFG!L196</f>
        <v/>
      </c>
      <c r="L495" s="88">
        <f>CFG!M196</f>
        <v/>
      </c>
      <c r="M495" s="88">
        <f>CFG!N196</f>
        <v/>
      </c>
      <c r="N495" s="88">
        <f>CFG!O196</f>
        <v/>
      </c>
      <c r="O495" s="88">
        <f>CFG!P196</f>
        <v/>
      </c>
      <c r="P495" s="85">
        <f>SUM(D495:O495)</f>
        <v/>
      </c>
      <c r="Q495" s="2377">
        <f>CFG!Q196</f>
        <v/>
      </c>
      <c r="R495" s="2428">
        <f>SUM(P529,P564)</f>
        <v/>
      </c>
      <c r="S495" s="2402">
        <f>R495-P495</f>
        <v/>
      </c>
    </row>
    <row customFormat="1" customHeight="1" ht="14.25" r="496" s="2362" spans="1:57">
      <c r="A496" s="2407" t="n"/>
      <c r="B496" s="123" t="n"/>
      <c r="C496" s="2459" t="s">
        <v>198</v>
      </c>
      <c r="D496" s="88" t="n"/>
      <c r="E496" s="88" t="n"/>
      <c r="F496" s="88" t="n"/>
      <c r="G496" s="88" t="n"/>
      <c r="H496" s="88" t="n"/>
      <c r="I496" s="88" t="n"/>
      <c r="J496" s="88" t="n"/>
      <c r="K496" s="88" t="n"/>
      <c r="L496" s="88" t="n"/>
      <c r="M496" s="88" t="n"/>
      <c r="N496" s="88" t="n"/>
      <c r="O496" s="88" t="n"/>
      <c r="P496" s="85">
        <f>SUM(D496:O496)</f>
        <v/>
      </c>
      <c r="Q496" s="2377" t="n"/>
      <c r="R496" s="2428">
        <f>SUM(P530,P565)</f>
        <v/>
      </c>
      <c r="S496" s="2402">
        <f>R496-P496</f>
        <v/>
      </c>
    </row>
    <row customFormat="1" customHeight="1" ht="14.25" r="497" s="2362" spans="1:57">
      <c r="A497" s="2407" t="n"/>
      <c r="B497" s="123" t="n"/>
      <c r="C497" s="2459" t="s">
        <v>199</v>
      </c>
      <c r="D497" s="1298">
        <f>CFG!E462</f>
        <v/>
      </c>
      <c r="E497" s="1298">
        <f>CFG!F462</f>
        <v/>
      </c>
      <c r="F497" s="1298">
        <f>CFG!G462</f>
        <v/>
      </c>
      <c r="G497" s="1298">
        <f>CFG!H462</f>
        <v/>
      </c>
      <c r="H497" s="1298">
        <f>CFG!I462</f>
        <v/>
      </c>
      <c r="I497" s="1298">
        <f>CFG!J462</f>
        <v/>
      </c>
      <c r="J497" s="1298">
        <f>CFG!K462</f>
        <v/>
      </c>
      <c r="K497" s="1298">
        <f>CFG!L462</f>
        <v/>
      </c>
      <c r="L497" s="1298">
        <f>CFG!M462</f>
        <v/>
      </c>
      <c r="M497" s="1298">
        <f>CFG!N462</f>
        <v/>
      </c>
      <c r="N497" s="1298">
        <f>CFG!O462</f>
        <v/>
      </c>
      <c r="O497" s="1298">
        <f>CFG!P462</f>
        <v/>
      </c>
      <c r="P497" s="85">
        <f>SUM(D497:O497)</f>
        <v/>
      </c>
      <c r="Q497" s="2377">
        <f>P497</f>
        <v/>
      </c>
      <c r="R497" s="2428">
        <f>SUM(P531,P566)</f>
        <v/>
      </c>
      <c r="S497" s="2402">
        <f>R497-P497</f>
        <v/>
      </c>
    </row>
    <row customFormat="1" customHeight="1" ht="14.25" r="498" s="2437" spans="1:57">
      <c r="A498" s="2408" t="n"/>
      <c r="B498" s="71" t="n"/>
      <c r="C498" s="2385" t="s">
        <v>200</v>
      </c>
      <c r="D498" s="88" t="n"/>
      <c r="E498" s="88" t="n"/>
      <c r="F498" s="88" t="n"/>
      <c r="G498" s="88" t="n"/>
      <c r="H498" s="88" t="n"/>
      <c r="I498" s="88" t="n"/>
      <c r="J498" s="88" t="n"/>
      <c r="K498" s="88" t="n"/>
      <c r="L498" s="88" t="n"/>
      <c r="M498" s="88" t="n"/>
      <c r="N498" s="88" t="n"/>
      <c r="O498" s="88" t="n"/>
      <c r="P498" s="85">
        <f>SUM(D498:O498)</f>
        <v/>
      </c>
      <c r="Q498" s="2377" t="n"/>
      <c r="R498" s="2428">
        <f>SUM(P532,P567)</f>
        <v/>
      </c>
      <c r="S498" s="2402">
        <f>R498-P498</f>
        <v/>
      </c>
      <c r="T498" s="2362" t="n"/>
      <c r="U498" s="2362" t="n"/>
      <c r="V498" s="2362" t="n"/>
      <c r="W498" s="2362" t="n"/>
      <c r="X498" s="2362" t="n"/>
      <c r="Y498" s="2362" t="n"/>
      <c r="Z498" s="2362" t="n"/>
      <c r="AA498" s="2362" t="n"/>
      <c r="AB498" s="2362" t="n"/>
      <c r="AC498" s="2362" t="n"/>
      <c r="AD498" s="2362" t="n"/>
      <c r="AE498" s="2362" t="n"/>
      <c r="AF498" s="2362" t="n"/>
      <c r="AG498" s="2362" t="n"/>
      <c r="AH498" s="2362" t="n"/>
      <c r="AI498" s="2362" t="n"/>
      <c r="AJ498" s="2362" t="n"/>
      <c r="AK498" s="2362" t="n"/>
      <c r="AL498" s="2362" t="n"/>
      <c r="AM498" s="2362" t="n"/>
      <c r="AN498" s="2362" t="n"/>
      <c r="AO498" s="2362" t="n"/>
      <c r="AP498" s="2362" t="n"/>
      <c r="AQ498" s="2362" t="n"/>
      <c r="AR498" s="2362" t="n"/>
      <c r="AS498" s="2362" t="n"/>
      <c r="AT498" s="2362" t="n"/>
      <c r="AU498" s="2362" t="n"/>
      <c r="AV498" s="2362" t="n"/>
      <c r="AW498" s="2362" t="n"/>
      <c r="AX498" s="2362" t="n"/>
      <c r="AY498" s="2362" t="n"/>
      <c r="AZ498" s="2362" t="n"/>
      <c r="BA498" s="2362" t="n"/>
      <c r="BB498" s="2362" t="n"/>
      <c r="BC498" s="2362" t="n"/>
      <c r="BD498" s="2362" t="n"/>
      <c r="BE498" s="2362" t="n"/>
    </row>
    <row customFormat="1" customHeight="1" ht="14.25" r="499" s="2437" spans="1:57">
      <c r="A499" s="2407" t="n"/>
      <c r="B499" s="123" t="n"/>
      <c r="C499" s="2385" t="s">
        <v>201</v>
      </c>
      <c r="D499" s="87">
        <f>-CFG!E205</f>
        <v/>
      </c>
      <c r="E499" s="87">
        <f>-CFG!F205</f>
        <v/>
      </c>
      <c r="F499" s="87">
        <f>-CFG!G205</f>
        <v/>
      </c>
      <c r="G499" s="87">
        <f>-CFG!H205</f>
        <v/>
      </c>
      <c r="H499" s="87">
        <f>-CFG!I205</f>
        <v/>
      </c>
      <c r="I499" s="87">
        <f>-CFG!J205</f>
        <v/>
      </c>
      <c r="J499" s="87">
        <f>-CFG!K205</f>
        <v/>
      </c>
      <c r="K499" s="87">
        <f>-CFG!L205</f>
        <v/>
      </c>
      <c r="L499" s="87">
        <f>-CFG!M205</f>
        <v/>
      </c>
      <c r="M499" s="87">
        <f>-CFG!N205</f>
        <v/>
      </c>
      <c r="N499" s="87">
        <f>-CFG!O205</f>
        <v/>
      </c>
      <c r="O499" s="87">
        <f>-CFG!P205</f>
        <v/>
      </c>
      <c r="P499" s="85">
        <f>SUM(D499:O499)</f>
        <v/>
      </c>
      <c r="Q499" s="2377">
        <f>-CFG!Q205</f>
        <v/>
      </c>
      <c r="R499" s="2428">
        <f>SUM(P533,P568)</f>
        <v/>
      </c>
      <c r="S499" s="2402">
        <f>R499-P499</f>
        <v/>
      </c>
      <c r="T499" s="2362" t="n"/>
      <c r="U499" s="2362" t="n"/>
      <c r="V499" s="2362" t="n"/>
      <c r="W499" s="2362" t="n"/>
      <c r="X499" s="2362" t="n"/>
      <c r="Y499" s="2362" t="n"/>
      <c r="Z499" s="2362" t="n"/>
      <c r="AA499" s="2362" t="n"/>
      <c r="AB499" s="2362" t="n"/>
      <c r="AC499" s="2362" t="n"/>
      <c r="AD499" s="2362" t="n"/>
      <c r="AE499" s="2362" t="n"/>
      <c r="AF499" s="2362" t="n"/>
      <c r="AG499" s="2362" t="n"/>
      <c r="AH499" s="2362" t="n"/>
      <c r="AI499" s="2362" t="n"/>
      <c r="AJ499" s="2362" t="n"/>
      <c r="AK499" s="2362" t="n"/>
      <c r="AL499" s="2362" t="n"/>
      <c r="AM499" s="2362" t="n"/>
      <c r="AN499" s="2362" t="n"/>
      <c r="AO499" s="2362" t="n"/>
      <c r="AP499" s="2362" t="n"/>
      <c r="AQ499" s="2362" t="n"/>
      <c r="AR499" s="2362" t="n"/>
      <c r="AS499" s="2362" t="n"/>
      <c r="AT499" s="2362" t="n"/>
      <c r="AU499" s="2362" t="n"/>
      <c r="AV499" s="2362" t="n"/>
      <c r="AW499" s="2362" t="n"/>
      <c r="AX499" s="2362" t="n"/>
      <c r="AY499" s="2362" t="n"/>
      <c r="AZ499" s="2362" t="n"/>
      <c r="BA499" s="2362" t="n"/>
      <c r="BB499" s="2362" t="n"/>
      <c r="BC499" s="2362" t="n"/>
      <c r="BD499" s="2362" t="n"/>
      <c r="BE499" s="2362" t="n"/>
    </row>
    <row customFormat="1" customHeight="1" ht="36" r="500" s="2437" spans="1:57">
      <c r="A500" s="2408" t="n"/>
      <c r="B500" s="71" t="n"/>
      <c r="C500" s="2384" t="s">
        <v>202</v>
      </c>
      <c r="D500" s="88" t="n"/>
      <c r="E500" s="88" t="n"/>
      <c r="F500" s="88" t="n"/>
      <c r="G500" s="88" t="n"/>
      <c r="H500" s="88" t="n"/>
      <c r="I500" s="88" t="n"/>
      <c r="J500" s="88" t="n"/>
      <c r="K500" s="88" t="n"/>
      <c r="L500" s="88" t="n"/>
      <c r="M500" s="88" t="n"/>
      <c r="N500" s="88" t="n"/>
      <c r="O500" s="88" t="n"/>
      <c r="P500" s="85">
        <f>SUM(D500:O500)</f>
        <v/>
      </c>
      <c r="Q500" s="2377" t="n"/>
      <c r="R500" s="2362" t="n"/>
      <c r="S500" s="2362" t="n"/>
      <c r="T500" s="2362" t="n"/>
      <c r="U500" s="2362" t="n"/>
      <c r="V500" s="2362" t="n"/>
      <c r="W500" s="2362" t="n"/>
      <c r="X500" s="2362" t="n"/>
      <c r="Y500" s="2362" t="n"/>
      <c r="Z500" s="2362" t="n"/>
      <c r="AA500" s="2362" t="n"/>
      <c r="AB500" s="2362" t="n"/>
      <c r="AC500" s="2362" t="n"/>
      <c r="AD500" s="2362" t="n"/>
      <c r="AE500" s="2362" t="n"/>
      <c r="AF500" s="2362" t="n"/>
      <c r="AG500" s="2362" t="n"/>
      <c r="AH500" s="2362" t="n"/>
      <c r="AI500" s="2362" t="n"/>
      <c r="AJ500" s="2362" t="n"/>
      <c r="AK500" s="2362" t="n"/>
      <c r="AL500" s="2362" t="n"/>
      <c r="AM500" s="2362" t="n"/>
      <c r="AN500" s="2362" t="n"/>
      <c r="AO500" s="2362" t="n"/>
      <c r="AP500" s="2362" t="n"/>
      <c r="AQ500" s="2362" t="n"/>
      <c r="AR500" s="2362" t="n"/>
      <c r="AS500" s="2362" t="n"/>
      <c r="AT500" s="2362" t="n"/>
      <c r="AU500" s="2362" t="n"/>
      <c r="AV500" s="2362" t="n"/>
      <c r="AW500" s="2362" t="n"/>
      <c r="AX500" s="2362" t="n"/>
      <c r="AY500" s="2362" t="n"/>
      <c r="AZ500" s="2362" t="n"/>
      <c r="BA500" s="2362" t="n"/>
      <c r="BB500" s="2362" t="n"/>
      <c r="BC500" s="2362" t="n"/>
      <c r="BD500" s="2362" t="n"/>
      <c r="BE500" s="2362" t="n"/>
    </row>
    <row customFormat="1" customHeight="1" ht="14.25" r="501" s="2437" spans="1:57">
      <c r="A501" s="2407" t="n"/>
      <c r="B501" s="139" t="n"/>
      <c r="C501" s="2453" t="s">
        <v>216</v>
      </c>
      <c r="D501" s="128">
        <f>D$19*SUM(D$508,D$513)/SUM(D$24,D$27:D$28)</f>
        <v/>
      </c>
      <c r="E501" s="128">
        <f>E$19*SUM(E$508,E$513)/SUM(E$24,E$27:E$28)</f>
        <v/>
      </c>
      <c r="F501" s="128">
        <f>F$19*SUM(F$508,F$513)/SUM(F$24,F$27:F$28)</f>
        <v/>
      </c>
      <c r="G501" s="128">
        <f>G$19*SUM(G$508,G$513)/SUM(G$24,G$27:G$28)</f>
        <v/>
      </c>
      <c r="H501" s="128">
        <f>H$19*SUM(H$508,H$513)/SUM(H$24,H$27:H$28)</f>
        <v/>
      </c>
      <c r="I501" s="128">
        <f>I$19*SUM(I$508,I$513)/SUM(I$24,I$27:I$28)</f>
        <v/>
      </c>
      <c r="J501" s="128">
        <f>J$19*SUM(J$508,J$513)/SUM(J$24,J$27:J$28)</f>
        <v/>
      </c>
      <c r="K501" s="128">
        <f>K$19*SUM(K$508,K$513)/SUM(K$24,K$27:K$28)</f>
        <v/>
      </c>
      <c r="L501" s="128">
        <f>L$19*SUM(L$508,L$513)/SUM(L$24,L$27:L$28)</f>
        <v/>
      </c>
      <c r="M501" s="128">
        <f>M$19*SUM(M$508,M$513)/SUM(M$24,M$27:M$28)</f>
        <v/>
      </c>
      <c r="N501" s="128">
        <f>N$19*SUM(N$508,N$513)/SUM(N$24,N$27:N$28)</f>
        <v/>
      </c>
      <c r="O501" s="128">
        <f>O$19*SUM(O$508,O$513)/SUM(O$24,O$27:O$28)</f>
        <v/>
      </c>
      <c r="P501" s="128">
        <f>SUM(D501:O501)</f>
        <v/>
      </c>
      <c r="Q501" s="2377">
        <f>P501</f>
        <v/>
      </c>
      <c r="R501" s="2362" t="n"/>
      <c r="S501" s="2362" t="n"/>
      <c r="T501" s="2362" t="n"/>
      <c r="U501" s="2362" t="n"/>
      <c r="V501" s="2362" t="n"/>
      <c r="W501" s="2362" t="n"/>
      <c r="X501" s="2362" t="n"/>
      <c r="Y501" s="2362" t="n"/>
      <c r="Z501" s="2362" t="n"/>
      <c r="AA501" s="2362" t="n"/>
      <c r="AB501" s="2362" t="n"/>
      <c r="AC501" s="2362" t="n"/>
      <c r="AD501" s="2362" t="n"/>
      <c r="AE501" s="2362" t="n"/>
      <c r="AF501" s="2362" t="n"/>
      <c r="AG501" s="2362" t="n"/>
      <c r="AH501" s="2362" t="n"/>
      <c r="AI501" s="2362" t="n"/>
      <c r="AJ501" s="2362" t="n"/>
      <c r="AK501" s="2362" t="n"/>
      <c r="AL501" s="2362" t="n"/>
      <c r="AM501" s="2362" t="n"/>
      <c r="AN501" s="2362" t="n"/>
      <c r="AO501" s="2362" t="n"/>
      <c r="AP501" s="2362" t="n"/>
      <c r="AQ501" s="2362" t="n"/>
      <c r="AR501" s="2362" t="n"/>
      <c r="AS501" s="2362" t="n"/>
      <c r="AT501" s="2362" t="n"/>
      <c r="AU501" s="2362" t="n"/>
      <c r="AV501" s="2362" t="n"/>
      <c r="AW501" s="2362" t="n"/>
      <c r="AX501" s="2362" t="n"/>
      <c r="AY501" s="2362" t="n"/>
      <c r="AZ501" s="2362" t="n"/>
      <c r="BA501" s="2362" t="n"/>
      <c r="BB501" s="2362" t="n"/>
      <c r="BC501" s="2362" t="n"/>
      <c r="BD501" s="2362" t="n"/>
      <c r="BE501" s="2362" t="n"/>
    </row>
    <row customFormat="1" customHeight="1" ht="15" r="502" s="2437" spans="1:57" thickBot="1">
      <c r="A502" s="2408" t="n"/>
      <c r="B502" s="70" t="s">
        <v>217</v>
      </c>
      <c r="C502" s="2458" t="n"/>
      <c r="D502" s="74">
        <f>SUM(D493:D501)</f>
        <v/>
      </c>
      <c r="E502" s="74">
        <f>SUM(E493:E501)</f>
        <v/>
      </c>
      <c r="F502" s="74">
        <f>SUM(F493:F501)</f>
        <v/>
      </c>
      <c r="G502" s="74">
        <f>SUM(G493:G501)</f>
        <v/>
      </c>
      <c r="H502" s="74">
        <f>SUM(H493:H501)</f>
        <v/>
      </c>
      <c r="I502" s="74">
        <f>SUM(I493:I501)</f>
        <v/>
      </c>
      <c r="J502" s="74">
        <f>SUM(J493:J501)</f>
        <v/>
      </c>
      <c r="K502" s="74">
        <f>SUM(K493:K501)</f>
        <v/>
      </c>
      <c r="L502" s="74">
        <f>SUM(L493:L501)</f>
        <v/>
      </c>
      <c r="M502" s="74">
        <f>SUM(M493:M501)</f>
        <v/>
      </c>
      <c r="N502" s="74">
        <f>SUM(N493:N501)</f>
        <v/>
      </c>
      <c r="O502" s="74">
        <f>SUM(O493:O501)</f>
        <v/>
      </c>
      <c r="P502" s="76">
        <f>SUM(D502:O502)</f>
        <v/>
      </c>
      <c r="Q502" s="2377" t="n"/>
      <c r="R502" s="2428">
        <f>SUM(CFG!Q182:Q186,CFG!Q188:Q192,CFG!Q196:Q198)-SUM(CFG!Q205:Q206)</f>
        <v/>
      </c>
      <c r="S502" s="2402" t="n"/>
      <c r="T502" s="2362" t="n"/>
      <c r="U502" s="2362" t="n"/>
      <c r="V502" s="2362" t="n"/>
      <c r="W502" s="2362" t="n"/>
      <c r="X502" s="2362" t="n"/>
      <c r="Y502" s="2362" t="n"/>
      <c r="Z502" s="2362" t="n"/>
      <c r="AA502" s="2362" t="n"/>
      <c r="AB502" s="2362" t="n"/>
      <c r="AC502" s="2362" t="n"/>
      <c r="AD502" s="2362" t="n"/>
      <c r="AE502" s="2362" t="n"/>
      <c r="AF502" s="2362" t="n"/>
      <c r="AG502" s="2362" t="n"/>
      <c r="AH502" s="2362" t="n"/>
      <c r="AI502" s="2362" t="n"/>
      <c r="AJ502" s="2362" t="n"/>
      <c r="AK502" s="2362" t="n"/>
      <c r="AL502" s="2362" t="n"/>
      <c r="AM502" s="2362" t="n"/>
      <c r="AN502" s="2362" t="n"/>
      <c r="AO502" s="2362" t="n"/>
      <c r="AP502" s="2362" t="n"/>
      <c r="AQ502" s="2362" t="n"/>
      <c r="AR502" s="2362" t="n"/>
      <c r="AS502" s="2362" t="n"/>
      <c r="AT502" s="2362" t="n"/>
      <c r="AU502" s="2362" t="n"/>
      <c r="AV502" s="2362" t="n"/>
      <c r="AW502" s="2362" t="n"/>
      <c r="AX502" s="2362" t="n"/>
      <c r="AY502" s="2362" t="n"/>
      <c r="AZ502" s="2362" t="n"/>
      <c r="BA502" s="2362" t="n"/>
      <c r="BB502" s="2362" t="n"/>
      <c r="BC502" s="2362" t="n"/>
      <c r="BD502" s="2362" t="n"/>
      <c r="BE502" s="2362" t="n"/>
    </row>
    <row customFormat="1" customHeight="1" ht="15" r="503" s="2437" spans="1:57" thickBot="1">
      <c r="A503" s="2362" t="n"/>
      <c r="B503" s="1324" t="n"/>
      <c r="C503" s="2449" t="s">
        <v>218</v>
      </c>
      <c r="D503" s="1323">
        <f>SUM(D492,D502)</f>
        <v/>
      </c>
      <c r="E503" s="1323">
        <f>SUM(E492,E502)</f>
        <v/>
      </c>
      <c r="F503" s="1323">
        <f>SUM(F492,F502)</f>
        <v/>
      </c>
      <c r="G503" s="1323">
        <f>SUM(G492,G502)</f>
        <v/>
      </c>
      <c r="H503" s="1323">
        <f>SUM(H492,H502)</f>
        <v/>
      </c>
      <c r="I503" s="1323">
        <f>SUM(I492,I502)</f>
        <v/>
      </c>
      <c r="J503" s="1323">
        <f>SUM(J492,J502)</f>
        <v/>
      </c>
      <c r="K503" s="1323">
        <f>SUM(K492,K502)</f>
        <v/>
      </c>
      <c r="L503" s="1323">
        <f>SUM(L492,L502)</f>
        <v/>
      </c>
      <c r="M503" s="1323">
        <f>SUM(M492,M502)</f>
        <v/>
      </c>
      <c r="N503" s="1323">
        <f>SUM(N492,N502)</f>
        <v/>
      </c>
      <c r="O503" s="1323">
        <f>SUM(O492,O502)</f>
        <v/>
      </c>
      <c r="P503" s="89">
        <f>SUM(P492,P502)</f>
        <v/>
      </c>
      <c r="Q503" s="2377">
        <f>SUM(Q485:Q502)</f>
        <v/>
      </c>
      <c r="R503" s="2362" t="n"/>
      <c r="S503" s="2362" t="n"/>
      <c r="T503" s="2362" t="n"/>
      <c r="U503" s="2362" t="n"/>
      <c r="V503" s="2362" t="n"/>
      <c r="W503" s="2362" t="n"/>
      <c r="X503" s="2362" t="n"/>
      <c r="Y503" s="2362" t="n"/>
      <c r="Z503" s="2362" t="n"/>
      <c r="AA503" s="2362" t="n"/>
      <c r="AB503" s="2362" t="n"/>
      <c r="AC503" s="2362" t="n"/>
      <c r="AD503" s="2362" t="n"/>
      <c r="AE503" s="2362" t="n"/>
      <c r="AF503" s="2362" t="n"/>
      <c r="AG503" s="2362" t="n"/>
      <c r="AH503" s="2362" t="n"/>
      <c r="AI503" s="2362" t="n"/>
      <c r="AJ503" s="2362" t="n"/>
      <c r="AK503" s="2362" t="n"/>
      <c r="AL503" s="2362" t="n"/>
      <c r="AM503" s="2362" t="n"/>
      <c r="AN503" s="2362" t="n"/>
      <c r="AO503" s="2362" t="n"/>
      <c r="AP503" s="2362" t="n"/>
      <c r="AQ503" s="2362" t="n"/>
      <c r="AR503" s="2362" t="n"/>
      <c r="AS503" s="2362" t="n"/>
      <c r="AT503" s="2362" t="n"/>
      <c r="AU503" s="2362" t="n"/>
      <c r="AV503" s="2362" t="n"/>
      <c r="AW503" s="2362" t="n"/>
      <c r="AX503" s="2362" t="n"/>
      <c r="AY503" s="2362" t="n"/>
      <c r="AZ503" s="2362" t="n"/>
      <c r="BA503" s="2362" t="n"/>
      <c r="BB503" s="2362" t="n"/>
      <c r="BC503" s="2362" t="n"/>
      <c r="BD503" s="2362" t="n"/>
      <c r="BE503" s="2362" t="n"/>
    </row>
    <row customFormat="1" customHeight="1" ht="14.25" r="504" s="2362" spans="1:57">
      <c r="A504" s="2392" t="s">
        <v>203</v>
      </c>
      <c r="B504" s="2395" t="n"/>
      <c r="C504" s="2413" t="s">
        <v>204</v>
      </c>
      <c r="D504" s="1218">
        <f>SUM(D538,D573)</f>
        <v/>
      </c>
      <c r="E504" s="1218">
        <f>SUM(E538,E573)</f>
        <v/>
      </c>
      <c r="F504" s="1218">
        <f>SUM(F538,F573)</f>
        <v/>
      </c>
      <c r="G504" s="1218">
        <f>SUM(G538,G573)</f>
        <v/>
      </c>
      <c r="H504" s="1218">
        <f>SUM(H538,H573)</f>
        <v/>
      </c>
      <c r="I504" s="1218">
        <f>SUM(I538,I573)</f>
        <v/>
      </c>
      <c r="J504" s="1218">
        <f>SUM(J538,J573)</f>
        <v/>
      </c>
      <c r="K504" s="1218">
        <f>SUM(K538,K573)</f>
        <v/>
      </c>
      <c r="L504" s="1218">
        <f>SUM(L538,L573)</f>
        <v/>
      </c>
      <c r="M504" s="1218">
        <f>SUM(M538,M573)</f>
        <v/>
      </c>
      <c r="N504" s="1218">
        <f>SUM(N538,N573)</f>
        <v/>
      </c>
      <c r="O504" s="1218">
        <f>SUM(O538,O573)</f>
        <v/>
      </c>
      <c r="P504" s="1219">
        <f>SUM(D504:O504)</f>
        <v/>
      </c>
      <c r="R504" s="2362" t="n"/>
    </row>
    <row customFormat="1" customHeight="1" ht="14.25" r="505" s="2362" spans="1:57">
      <c r="B505" s="2395" t="n"/>
      <c r="C505" s="2399" t="s">
        <v>14</v>
      </c>
      <c r="D505" s="1218">
        <f>SUM(D539,D574)</f>
        <v/>
      </c>
      <c r="E505" s="1218">
        <f>SUM(E539,E574)</f>
        <v/>
      </c>
      <c r="F505" s="1218">
        <f>SUM(F539,F574)</f>
        <v/>
      </c>
      <c r="G505" s="1218">
        <f>SUM(G539,G574)</f>
        <v/>
      </c>
      <c r="H505" s="1218">
        <f>SUM(H539,H574)</f>
        <v/>
      </c>
      <c r="I505" s="1218">
        <f>SUM(I539,I574)</f>
        <v/>
      </c>
      <c r="J505" s="1218">
        <f>SUM(J539,J574)</f>
        <v/>
      </c>
      <c r="K505" s="1218">
        <f>SUM(K539,K574)</f>
        <v/>
      </c>
      <c r="L505" s="1218">
        <f>SUM(L539,L574)</f>
        <v/>
      </c>
      <c r="M505" s="1218">
        <f>SUM(M539,M574)</f>
        <v/>
      </c>
      <c r="N505" s="1218">
        <f>SUM(N539,N574)</f>
        <v/>
      </c>
      <c r="O505" s="1218">
        <f>SUM(O539,O574)</f>
        <v/>
      </c>
      <c r="P505" s="1219">
        <f>SUM(D505:O505)</f>
        <v/>
      </c>
      <c r="R505" s="2362" t="n"/>
    </row>
    <row customFormat="1" customHeight="1" ht="14.25" r="506" s="2362" spans="1:57">
      <c r="B506" s="2395" t="n"/>
      <c r="C506" s="2399" t="s">
        <v>15</v>
      </c>
      <c r="D506" s="1218">
        <f>SUM(D540,D575)</f>
        <v/>
      </c>
      <c r="E506" s="1218">
        <f>SUM(E540,E575)</f>
        <v/>
      </c>
      <c r="F506" s="1218">
        <f>SUM(F540,F575)</f>
        <v/>
      </c>
      <c r="G506" s="1218">
        <f>SUM(G540,G575)</f>
        <v/>
      </c>
      <c r="H506" s="1218">
        <f>SUM(H540,H575)</f>
        <v/>
      </c>
      <c r="I506" s="1218">
        <f>SUM(I540,I575)</f>
        <v/>
      </c>
      <c r="J506" s="1218">
        <f>SUM(J540,J575)</f>
        <v/>
      </c>
      <c r="K506" s="1218">
        <f>SUM(K540,K575)</f>
        <v/>
      </c>
      <c r="L506" s="1218">
        <f>SUM(L540,L575)</f>
        <v/>
      </c>
      <c r="M506" s="1218">
        <f>SUM(M540,M575)</f>
        <v/>
      </c>
      <c r="N506" s="1218">
        <f>SUM(N540,N575)</f>
        <v/>
      </c>
      <c r="O506" s="1218">
        <f>SUM(O540,O575)</f>
        <v/>
      </c>
      <c r="P506" s="1219">
        <f>SUM(D506:O506)</f>
        <v/>
      </c>
      <c r="R506" s="2362" t="n"/>
    </row>
    <row customFormat="1" customHeight="1" ht="14.25" r="507" s="2362" spans="1:57">
      <c r="B507" s="2395" t="n"/>
      <c r="C507" s="2399" t="s">
        <v>16</v>
      </c>
      <c r="D507" s="1218">
        <f>SUM(D541,D576)</f>
        <v/>
      </c>
      <c r="E507" s="1218">
        <f>SUM(E541,E576)</f>
        <v/>
      </c>
      <c r="F507" s="1218">
        <f>SUM(F541,F576)</f>
        <v/>
      </c>
      <c r="G507" s="1218">
        <f>SUM(G541,G576)</f>
        <v/>
      </c>
      <c r="H507" s="1218">
        <f>SUM(H541,H576)</f>
        <v/>
      </c>
      <c r="I507" s="1218">
        <f>SUM(I541,I576)</f>
        <v/>
      </c>
      <c r="J507" s="1218">
        <f>SUM(J541,J576)</f>
        <v/>
      </c>
      <c r="K507" s="1218">
        <f>SUM(K541,K576)</f>
        <v/>
      </c>
      <c r="L507" s="1218">
        <f>SUM(L541,L576)</f>
        <v/>
      </c>
      <c r="M507" s="1218">
        <f>SUM(M541,M576)</f>
        <v/>
      </c>
      <c r="N507" s="1218">
        <f>SUM(N541,N576)</f>
        <v/>
      </c>
      <c r="O507" s="1218">
        <f>SUM(O541,O576)</f>
        <v/>
      </c>
      <c r="P507" s="1219">
        <f>SUM(D507:O507)</f>
        <v/>
      </c>
    </row>
    <row customFormat="1" customHeight="1" ht="14.25" r="508" s="2362" spans="1:57">
      <c r="B508" s="2395" t="n"/>
      <c r="C508" s="2396" t="s">
        <v>80</v>
      </c>
      <c r="D508" s="192">
        <f>SUM(D504:D507)</f>
        <v/>
      </c>
      <c r="E508" s="192">
        <f>SUM(E504:E507)</f>
        <v/>
      </c>
      <c r="F508" s="192">
        <f>SUM(F504:F507)</f>
        <v/>
      </c>
      <c r="G508" s="192">
        <f>SUM(G504:G507)</f>
        <v/>
      </c>
      <c r="H508" s="192">
        <f>SUM(H504:H507)</f>
        <v/>
      </c>
      <c r="I508" s="192">
        <f>SUM(I504:I507)</f>
        <v/>
      </c>
      <c r="J508" s="192">
        <f>SUM(J504:J507)</f>
        <v/>
      </c>
      <c r="K508" s="192">
        <f>SUM(K504:K507)</f>
        <v/>
      </c>
      <c r="L508" s="192">
        <f>SUM(L504:L507)</f>
        <v/>
      </c>
      <c r="M508" s="192">
        <f>SUM(M504:M507)</f>
        <v/>
      </c>
      <c r="N508" s="192">
        <f>SUM(N504:N507)</f>
        <v/>
      </c>
      <c r="O508" s="1243">
        <f>SUM(O504:O507)</f>
        <v/>
      </c>
      <c r="P508" s="1219">
        <f>SUM(D508:O508)</f>
        <v/>
      </c>
    </row>
    <row customFormat="1" customHeight="1" ht="14.25" r="509" s="2362" spans="1:57">
      <c r="B509" s="2395" t="n"/>
      <c r="C509" s="2396" t="s">
        <v>206</v>
      </c>
      <c r="D509" s="1218">
        <f>SUM(D543,D578)</f>
        <v/>
      </c>
      <c r="E509" s="1218">
        <f>SUM(E543,E578)</f>
        <v/>
      </c>
      <c r="F509" s="1218">
        <f>SUM(F543,F578)</f>
        <v/>
      </c>
      <c r="G509" s="1218">
        <f>SUM(G543,G578)</f>
        <v/>
      </c>
      <c r="H509" s="1218">
        <f>SUM(H543,H578)</f>
        <v/>
      </c>
      <c r="I509" s="1218">
        <f>SUM(I543,I578)</f>
        <v/>
      </c>
      <c r="J509" s="1218">
        <f>SUM(J543,J578)</f>
        <v/>
      </c>
      <c r="K509" s="1218">
        <f>SUM(K543,K578)</f>
        <v/>
      </c>
      <c r="L509" s="1218">
        <f>SUM(L543,L578)</f>
        <v/>
      </c>
      <c r="M509" s="1218">
        <f>SUM(M543,M578)</f>
        <v/>
      </c>
      <c r="N509" s="1218">
        <f>SUM(N543,N578)</f>
        <v/>
      </c>
      <c r="O509" s="1218">
        <f>SUM(O543,O578)</f>
        <v/>
      </c>
      <c r="P509" s="1219">
        <f>SUM(D509:O509)</f>
        <v/>
      </c>
    </row>
    <row customFormat="1" customHeight="1" ht="14.25" r="510" s="2362" spans="1:57">
      <c r="B510" s="2395" t="n"/>
      <c r="C510" s="2397" t="s">
        <v>207</v>
      </c>
      <c r="D510" s="1218">
        <f>SUM(D544,D579)</f>
        <v/>
      </c>
      <c r="E510" s="1218">
        <f>SUM(E544,E579)</f>
        <v/>
      </c>
      <c r="F510" s="1218">
        <f>SUM(F544,F579)</f>
        <v/>
      </c>
      <c r="G510" s="1218">
        <f>SUM(G544,G579)</f>
        <v/>
      </c>
      <c r="H510" s="1218">
        <f>SUM(H544,H579)</f>
        <v/>
      </c>
      <c r="I510" s="1218">
        <f>SUM(I544,I579)</f>
        <v/>
      </c>
      <c r="J510" s="1218">
        <f>SUM(J544,J579)</f>
        <v/>
      </c>
      <c r="K510" s="1218">
        <f>SUM(K544,K579)</f>
        <v/>
      </c>
      <c r="L510" s="1218">
        <f>SUM(L544,L579)</f>
        <v/>
      </c>
      <c r="M510" s="1218">
        <f>SUM(M544,M579)</f>
        <v/>
      </c>
      <c r="N510" s="1218">
        <f>SUM(N544,N579)</f>
        <v/>
      </c>
      <c r="O510" s="1218">
        <f>SUM(O544,O579)</f>
        <v/>
      </c>
      <c r="P510" s="1219">
        <f>SUM(D510:O510)</f>
        <v/>
      </c>
    </row>
    <row customFormat="1" customHeight="1" ht="14.25" r="511" s="2362" spans="1:57">
      <c r="A511" s="2434" t="s">
        <v>157</v>
      </c>
      <c r="B511" s="2395" t="n"/>
      <c r="C511" s="2441" t="s">
        <v>208</v>
      </c>
      <c r="D511" s="1218">
        <f>SUM(D545,D580)</f>
        <v/>
      </c>
      <c r="E511" s="1218">
        <f>SUM(E545,E580)</f>
        <v/>
      </c>
      <c r="F511" s="1218">
        <f>SUM(F545,F580)</f>
        <v/>
      </c>
      <c r="G511" s="1218">
        <f>SUM(G545,G580)</f>
        <v/>
      </c>
      <c r="H511" s="1218">
        <f>SUM(H545,H580)</f>
        <v/>
      </c>
      <c r="I511" s="1218">
        <f>SUM(I545,I580)</f>
        <v/>
      </c>
      <c r="J511" s="1218">
        <f>SUM(J545,J580)</f>
        <v/>
      </c>
      <c r="K511" s="1218">
        <f>SUM(K545,K580)</f>
        <v/>
      </c>
      <c r="L511" s="1218">
        <f>SUM(L545,L580)</f>
        <v/>
      </c>
      <c r="M511" s="1218">
        <f>SUM(M545,M580)</f>
        <v/>
      </c>
      <c r="N511" s="1218">
        <f>SUM(N545,N580)</f>
        <v/>
      </c>
      <c r="O511" s="1218">
        <f>SUM(O545,O580)</f>
        <v/>
      </c>
      <c r="P511" s="1219">
        <f>SUM(D511:O511)</f>
        <v/>
      </c>
      <c r="R511" s="2362" t="n"/>
    </row>
    <row customFormat="1" customHeight="1" ht="14.25" r="512" s="2362" spans="1:57">
      <c r="B512" s="2395" t="n"/>
      <c r="C512" s="2442" t="s">
        <v>209</v>
      </c>
      <c r="D512" s="1218">
        <f>SUM(D546,D581)</f>
        <v/>
      </c>
      <c r="E512" s="1218">
        <f>SUM(E546,E581)</f>
        <v/>
      </c>
      <c r="F512" s="1218">
        <f>SUM(F546,F581)</f>
        <v/>
      </c>
      <c r="G512" s="1218">
        <f>SUM(G546,G581)</f>
        <v/>
      </c>
      <c r="H512" s="1218">
        <f>SUM(H546,H581)</f>
        <v/>
      </c>
      <c r="I512" s="1218">
        <f>SUM(I546,I581)</f>
        <v/>
      </c>
      <c r="J512" s="1218">
        <f>SUM(J546,J581)</f>
        <v/>
      </c>
      <c r="K512" s="1218">
        <f>SUM(K546,K581)</f>
        <v/>
      </c>
      <c r="L512" s="1218">
        <f>SUM(L546,L581)</f>
        <v/>
      </c>
      <c r="M512" s="1218">
        <f>SUM(M546,M581)</f>
        <v/>
      </c>
      <c r="N512" s="1218">
        <f>SUM(N546,N581)</f>
        <v/>
      </c>
      <c r="O512" s="1218">
        <f>SUM(O546,O581)</f>
        <v/>
      </c>
      <c r="P512" s="1219">
        <f>SUM(D512:O512)</f>
        <v/>
      </c>
      <c r="R512" s="2362" t="n"/>
    </row>
    <row customFormat="1" customHeight="1" ht="14.25" r="513" s="2362" spans="1:57">
      <c r="B513" s="2395" t="n"/>
      <c r="C513" s="2443" t="s">
        <v>211</v>
      </c>
      <c r="D513" s="1233">
        <f>SUM(D511:D512)</f>
        <v/>
      </c>
      <c r="E513" s="1233">
        <f>SUM(E511:E512)</f>
        <v/>
      </c>
      <c r="F513" s="1233">
        <f>SUM(F511:F512)</f>
        <v/>
      </c>
      <c r="G513" s="1233">
        <f>SUM(G511:G512)</f>
        <v/>
      </c>
      <c r="H513" s="1233">
        <f>SUM(H511:H512)</f>
        <v/>
      </c>
      <c r="I513" s="1233">
        <f>SUM(I511:I512)</f>
        <v/>
      </c>
      <c r="J513" s="1233">
        <f>SUM(J511:J512)</f>
        <v/>
      </c>
      <c r="K513" s="1233">
        <f>SUM(K511:K512)</f>
        <v/>
      </c>
      <c r="L513" s="1233">
        <f>SUM(L511:L512)</f>
        <v/>
      </c>
      <c r="M513" s="1233">
        <f>SUM(M511:M512)</f>
        <v/>
      </c>
      <c r="N513" s="1233">
        <f>SUM(N511:N512)</f>
        <v/>
      </c>
      <c r="O513" s="1250">
        <f>SUM(O511:O512)</f>
        <v/>
      </c>
      <c r="P513" s="1219">
        <f>SUM(D513:O513)</f>
        <v/>
      </c>
    </row>
    <row customFormat="1" customHeight="1" ht="14.25" r="514" s="2362" spans="1:57">
      <c r="A514" s="2416" t="s">
        <v>219</v>
      </c>
      <c r="B514" s="2417" t="n"/>
      <c r="C514" s="2444" t="s">
        <v>220</v>
      </c>
      <c r="D514" s="1278">
        <f>SUM(D509,D511)</f>
        <v/>
      </c>
      <c r="E514" s="1270">
        <f>SUM(E509,E511)</f>
        <v/>
      </c>
      <c r="F514" s="1270">
        <f>SUM(F509,F511)</f>
        <v/>
      </c>
      <c r="G514" s="1270">
        <f>SUM(G509,G511)</f>
        <v/>
      </c>
      <c r="H514" s="1270">
        <f>SUM(H509,H511)</f>
        <v/>
      </c>
      <c r="I514" s="1270">
        <f>SUM(I509,I511)</f>
        <v/>
      </c>
      <c r="J514" s="1270">
        <f>SUM(J509,J511)</f>
        <v/>
      </c>
      <c r="K514" s="1270">
        <f>SUM(K509,K511)</f>
        <v/>
      </c>
      <c r="L514" s="1270">
        <f>SUM(L509,L511)</f>
        <v/>
      </c>
      <c r="M514" s="1270">
        <f>SUM(M509,M511)</f>
        <v/>
      </c>
      <c r="N514" s="1270">
        <f>SUM(N509,N511)</f>
        <v/>
      </c>
      <c r="O514" s="1271">
        <f>SUM(O509,O511)</f>
        <v/>
      </c>
      <c r="P514" s="1219">
        <f>SUM(D514:O514)</f>
        <v/>
      </c>
    </row>
    <row customFormat="1" customHeight="1" ht="14.25" r="515" s="2362" spans="1:57">
      <c r="B515" s="2419" t="n"/>
      <c r="C515" s="2446" t="s">
        <v>221</v>
      </c>
      <c r="D515" s="1279">
        <f>SUM(D510,D512)</f>
        <v/>
      </c>
      <c r="E515" s="140">
        <f>SUM(E510,E512)</f>
        <v/>
      </c>
      <c r="F515" s="140">
        <f>SUM(F510,F512)</f>
        <v/>
      </c>
      <c r="G515" s="140">
        <f>SUM(G510,G512)</f>
        <v/>
      </c>
      <c r="H515" s="140">
        <f>SUM(H510,H512)</f>
        <v/>
      </c>
      <c r="I515" s="140">
        <f>SUM(I510,I512)</f>
        <v/>
      </c>
      <c r="J515" s="140">
        <f>SUM(J510,J512)</f>
        <v/>
      </c>
      <c r="K515" s="140">
        <f>SUM(K510,K512)</f>
        <v/>
      </c>
      <c r="L515" s="140">
        <f>SUM(L510,L512)</f>
        <v/>
      </c>
      <c r="M515" s="140">
        <f>SUM(M510,M512)</f>
        <v/>
      </c>
      <c r="N515" s="140">
        <f>SUM(N510,N512)</f>
        <v/>
      </c>
      <c r="O515" s="1273">
        <f>SUM(O510,O512)</f>
        <v/>
      </c>
      <c r="P515" s="1219">
        <f>SUM(D515:O515)</f>
        <v/>
      </c>
    </row>
    <row customFormat="1" customHeight="1" ht="14.25" r="516" s="2362" spans="1:57">
      <c r="B516" s="1274" t="n"/>
      <c r="C516" s="2447" t="s">
        <v>222</v>
      </c>
      <c r="D516" s="1280">
        <f>SUM(D514:D515)</f>
        <v/>
      </c>
      <c r="E516" s="1276">
        <f>SUM(E514:E515)</f>
        <v/>
      </c>
      <c r="F516" s="1276">
        <f>SUM(F514:F515)</f>
        <v/>
      </c>
      <c r="G516" s="1276">
        <f>SUM(G514:G515)</f>
        <v/>
      </c>
      <c r="H516" s="1276">
        <f>SUM(H514:H515)</f>
        <v/>
      </c>
      <c r="I516" s="1276">
        <f>SUM(I514:I515)</f>
        <v/>
      </c>
      <c r="J516" s="1276">
        <f>SUM(J514:J515)</f>
        <v/>
      </c>
      <c r="K516" s="1276">
        <f>SUM(K514:K515)</f>
        <v/>
      </c>
      <c r="L516" s="1276">
        <f>SUM(L514:L515)</f>
        <v/>
      </c>
      <c r="M516" s="1276">
        <f>SUM(M514:M515)</f>
        <v/>
      </c>
      <c r="N516" s="1276">
        <f>SUM(N514:N515)</f>
        <v/>
      </c>
      <c r="O516" s="1277">
        <f>SUM(O514:O515)</f>
        <v/>
      </c>
      <c r="P516" s="1219">
        <f>SUM(D516:O516)</f>
        <v/>
      </c>
    </row>
    <row customFormat="1" customHeight="1" ht="14.25" r="517" s="2437" spans="1:57">
      <c r="A517" s="2460" t="n"/>
      <c r="B517" s="301" t="n"/>
      <c r="C517" s="2399" t="n"/>
      <c r="D517" s="2414" t="n"/>
      <c r="E517" s="2414" t="n"/>
      <c r="F517" s="2414" t="n"/>
      <c r="G517" s="2414" t="n"/>
      <c r="H517" s="2414" t="n"/>
      <c r="I517" s="2414" t="n"/>
      <c r="J517" s="2414" t="n"/>
      <c r="K517" s="2414" t="n"/>
      <c r="L517" s="2414" t="n"/>
      <c r="M517" s="2414" t="n"/>
      <c r="N517" s="2414" t="n"/>
      <c r="O517" s="2414" t="n"/>
      <c r="P517" s="191" t="n"/>
      <c r="Q517" s="2362" t="n"/>
      <c r="R517" s="2362" t="n"/>
      <c r="S517" s="2362" t="n"/>
      <c r="T517" s="2362" t="n"/>
      <c r="U517" s="2362" t="n"/>
      <c r="V517" s="2362" t="n"/>
      <c r="W517" s="2362" t="n"/>
      <c r="X517" s="2362" t="n"/>
      <c r="Y517" s="2362" t="n"/>
      <c r="Z517" s="2362" t="n"/>
      <c r="AA517" s="2362" t="n"/>
      <c r="AB517" s="2362" t="n"/>
      <c r="AC517" s="2362" t="n"/>
      <c r="AD517" s="2362" t="n"/>
      <c r="AE517" s="2362" t="n"/>
      <c r="AF517" s="2362" t="n"/>
      <c r="AG517" s="2362" t="n"/>
      <c r="AH517" s="2362" t="n"/>
      <c r="AI517" s="2362" t="n"/>
      <c r="AJ517" s="2362" t="n"/>
      <c r="AK517" s="2362" t="n"/>
      <c r="AL517" s="2362" t="n"/>
      <c r="AM517" s="2362" t="n"/>
      <c r="AN517" s="2362" t="n"/>
      <c r="AO517" s="2362" t="n"/>
      <c r="AP517" s="2362" t="n"/>
      <c r="AQ517" s="2362" t="n"/>
      <c r="AR517" s="2362" t="n"/>
      <c r="AS517" s="2362" t="n"/>
      <c r="AT517" s="2362" t="n"/>
      <c r="AU517" s="2362" t="n"/>
      <c r="AV517" s="2362" t="n"/>
      <c r="AW517" s="2362" t="n"/>
      <c r="AX517" s="2362" t="n"/>
      <c r="AY517" s="2362" t="n"/>
      <c r="AZ517" s="2362" t="n"/>
      <c r="BA517" s="2362" t="n"/>
      <c r="BB517" s="2362" t="n"/>
      <c r="BC517" s="2362" t="n"/>
      <c r="BD517" s="2362" t="n"/>
      <c r="BE517" s="2362" t="n"/>
    </row>
    <row customHeight="1" hidden="1" ht="15.75" outlineLevel="1" r="518" s="1843" spans="1:57">
      <c r="A518" s="2370" t="n"/>
      <c r="B518" s="80" t="n"/>
      <c r="C518" s="2371" t="n"/>
      <c r="D518" s="2372" t="n">
        <v>43191</v>
      </c>
      <c r="E518" s="2372" t="n">
        <v>43221</v>
      </c>
      <c r="F518" s="2372" t="n">
        <v>43252</v>
      </c>
      <c r="G518" s="2372" t="n">
        <v>43282</v>
      </c>
      <c r="H518" s="2372" t="n">
        <v>43313</v>
      </c>
      <c r="I518" s="2372" t="n">
        <v>43344</v>
      </c>
      <c r="J518" s="2372" t="n">
        <v>43374</v>
      </c>
      <c r="K518" s="2372" t="n">
        <v>43405</v>
      </c>
      <c r="L518" s="2372" t="n">
        <v>43435</v>
      </c>
      <c r="M518" s="2372" t="n">
        <v>43466</v>
      </c>
      <c r="N518" s="2372" t="n">
        <v>43497</v>
      </c>
      <c r="O518" s="2372" t="n">
        <v>43525</v>
      </c>
      <c r="P518" s="2373" t="s">
        <v>55</v>
      </c>
      <c r="R518" s="2362" t="n"/>
    </row>
    <row customHeight="1" hidden="1" ht="15.75" outlineLevel="1" r="519" s="1843" spans="1:57">
      <c r="A519" s="2375" t="s">
        <v>118</v>
      </c>
      <c r="B519" s="64" t="n"/>
      <c r="C519" s="2376" t="s">
        <v>187</v>
      </c>
      <c r="D519" s="1296">
        <f>D$652*D$538+D$653*D$539+D$654*D$540+D$655*D$541</f>
        <v/>
      </c>
      <c r="E519" s="1296">
        <f>E$652*E$538+E$653*E$539+E$654*E$540+E$655*E$541</f>
        <v/>
      </c>
      <c r="F519" s="1296">
        <f>F$652*F$538+F$653*F$539+F$654*F$540+F$655*F$541</f>
        <v/>
      </c>
      <c r="G519" s="1296">
        <f>G$652*G$538+G$653*G$539+G$654*G$540+G$655*G$541</f>
        <v/>
      </c>
      <c r="H519" s="1296">
        <f>H$652*H$538+H$653*H$539+H$654*H$540+H$655*H$541</f>
        <v/>
      </c>
      <c r="I519" s="1296">
        <f>I$652*I$538+I$653*I$539+I$654*I$540+I$655*I$541</f>
        <v/>
      </c>
      <c r="J519" s="1296">
        <f>J$652*J$538+J$653*J$539+J$654*J$540+J$655*J$541</f>
        <v/>
      </c>
      <c r="K519" s="1296">
        <f>K$652*K$538+K$653*K$539+K$654*K$540+K$655*K$541</f>
        <v/>
      </c>
      <c r="L519" s="1296">
        <f>L$652*L$538+L$653*L$539+L$654*L$540+L$655*L$541</f>
        <v/>
      </c>
      <c r="M519" s="1296">
        <f>M$652*M$538+M$653*M$539+M$654*M$540+M$655*M$541</f>
        <v/>
      </c>
      <c r="N519" s="1296">
        <f>N$652*N$538+N$653*N$539+N$654*N$540+N$655*N$541</f>
        <v/>
      </c>
      <c r="O519" s="1296">
        <f>O$652*O$538+O$653*O$539+O$654*O$540+O$655*O$541</f>
        <v/>
      </c>
      <c r="P519" s="49">
        <f>SUM(D519:O519)</f>
        <v/>
      </c>
      <c r="R519" s="2362" t="n"/>
    </row>
    <row customHeight="1" hidden="1" ht="14.25" outlineLevel="1" r="520" s="1843" spans="1:57">
      <c r="A520" s="2436" t="n"/>
      <c r="B520" s="66" t="n"/>
      <c r="C520" s="2379" t="s">
        <v>189</v>
      </c>
      <c r="D520" s="1303">
        <f>D486*D$542/D$508</f>
        <v/>
      </c>
      <c r="E520" s="1303">
        <f>E486*E$542/E$508</f>
        <v/>
      </c>
      <c r="F520" s="1303">
        <f>F486*F$542/F$508</f>
        <v/>
      </c>
      <c r="G520" s="1303">
        <f>G486*G$542/G$508</f>
        <v/>
      </c>
      <c r="H520" s="1303">
        <f>H486*H$542/H$508</f>
        <v/>
      </c>
      <c r="I520" s="1303">
        <f>I486*I$542/I$508</f>
        <v/>
      </c>
      <c r="J520" s="1303">
        <f>J486*J$542/J$508</f>
        <v/>
      </c>
      <c r="K520" s="1303">
        <f>K486*K$542/K$508</f>
        <v/>
      </c>
      <c r="L520" s="1303">
        <f>L486*L$542/L$508</f>
        <v/>
      </c>
      <c r="M520" s="1303">
        <f>M486*M$542/M$508</f>
        <v/>
      </c>
      <c r="N520" s="1303">
        <f>N486*N$542/N$508</f>
        <v/>
      </c>
      <c r="O520" s="1303">
        <f>O486*O$542/O$508</f>
        <v/>
      </c>
      <c r="P520" s="46">
        <f>SUM(D520:O520)</f>
        <v/>
      </c>
      <c r="R520" s="2362" t="n"/>
    </row>
    <row customHeight="1" hidden="1" ht="15.75" outlineLevel="1" r="521" s="1843" spans="1:57">
      <c r="A521" s="2461" t="s">
        <v>117</v>
      </c>
      <c r="B521" s="66" t="n"/>
      <c r="C521" s="2379" t="s">
        <v>212</v>
      </c>
      <c r="D521" s="1303">
        <f>D487*D$542/D$508</f>
        <v/>
      </c>
      <c r="E521" s="1303">
        <f>E487*E$542/E$508</f>
        <v/>
      </c>
      <c r="F521" s="1303">
        <f>F487*F$542/F$508</f>
        <v/>
      </c>
      <c r="G521" s="1303">
        <f>G487*G$542/G$508</f>
        <v/>
      </c>
      <c r="H521" s="1303">
        <f>H487*H$542/H$508</f>
        <v/>
      </c>
      <c r="I521" s="1303">
        <f>I487*I$542/I$508</f>
        <v/>
      </c>
      <c r="J521" s="1303">
        <f>J487*J$542/J$508</f>
        <v/>
      </c>
      <c r="K521" s="1303">
        <f>K487*K$542/K$508</f>
        <v/>
      </c>
      <c r="L521" s="1303">
        <f>L487*L$542/L$508</f>
        <v/>
      </c>
      <c r="M521" s="1303">
        <f>M487*M$542/M$508</f>
        <v/>
      </c>
      <c r="N521" s="1303">
        <f>N487*N$542/N$508</f>
        <v/>
      </c>
      <c r="O521" s="1303">
        <f>O487*O$542/O$508</f>
        <v/>
      </c>
      <c r="P521" s="46">
        <f>SUM(D521:O521)</f>
        <v/>
      </c>
      <c r="R521" s="2362" t="n"/>
    </row>
    <row customHeight="1" hidden="1" ht="14.25" outlineLevel="1" r="522" s="1843" spans="1:57">
      <c r="A522" s="2462" t="s">
        <v>126</v>
      </c>
      <c r="B522" s="66" t="n"/>
      <c r="C522" s="2379" t="s">
        <v>191</v>
      </c>
      <c r="D522" s="1303">
        <f>D488*D$542/D$508</f>
        <v/>
      </c>
      <c r="E522" s="1303">
        <f>E488*E$542/E$508</f>
        <v/>
      </c>
      <c r="F522" s="1303">
        <f>F488*F$542/F$508</f>
        <v/>
      </c>
      <c r="G522" s="1303">
        <f>G488*G$542/G$508</f>
        <v/>
      </c>
      <c r="H522" s="1303">
        <f>H488*H$542/H$508</f>
        <v/>
      </c>
      <c r="I522" s="1303">
        <f>I488*I$542/I$508</f>
        <v/>
      </c>
      <c r="J522" s="1303">
        <f>J488*J$542/J$508</f>
        <v/>
      </c>
      <c r="K522" s="1303">
        <f>K488*K$542/K$508</f>
        <v/>
      </c>
      <c r="L522" s="1303">
        <f>L488*L$542/L$508</f>
        <v/>
      </c>
      <c r="M522" s="1303">
        <f>M488*M$542/M$508</f>
        <v/>
      </c>
      <c r="N522" s="1303">
        <f>N488*N$542/N$508</f>
        <v/>
      </c>
      <c r="O522" s="1303">
        <f>O488*O$542/O$508</f>
        <v/>
      </c>
      <c r="P522" s="46">
        <f>SUM(D522:O522)</f>
        <v/>
      </c>
      <c r="R522" s="2362" t="n"/>
    </row>
    <row customHeight="1" hidden="1" ht="14.25" outlineLevel="1" r="523" s="1843" spans="1:57">
      <c r="A523" s="2381" t="n"/>
      <c r="B523" s="66" t="n"/>
      <c r="C523" s="2379" t="s">
        <v>192</v>
      </c>
      <c r="D523" s="1303">
        <f>D489*D$542/D$508</f>
        <v/>
      </c>
      <c r="E523" s="1303">
        <f>E489*E$542/E$508</f>
        <v/>
      </c>
      <c r="F523" s="1303">
        <f>F489*F$542/F$508</f>
        <v/>
      </c>
      <c r="G523" s="1303">
        <f>G489*G$542/G$508</f>
        <v/>
      </c>
      <c r="H523" s="1303">
        <f>H489*H$542/H$508</f>
        <v/>
      </c>
      <c r="I523" s="1303">
        <f>I489*I$542/I$508</f>
        <v/>
      </c>
      <c r="J523" s="1303">
        <f>J489*J$542/J$508</f>
        <v/>
      </c>
      <c r="K523" s="1303">
        <f>K489*K$542/K$508</f>
        <v/>
      </c>
      <c r="L523" s="1303">
        <f>L489*L$542/L$508</f>
        <v/>
      </c>
      <c r="M523" s="1303">
        <f>M489*M$542/M$508</f>
        <v/>
      </c>
      <c r="N523" s="1303">
        <f>N489*N$542/N$508</f>
        <v/>
      </c>
      <c r="O523" s="1303">
        <f>O489*O$542/O$508</f>
        <v/>
      </c>
      <c r="P523" s="46">
        <f>SUM(D523:O523)</f>
        <v/>
      </c>
      <c r="R523" s="2362" t="n"/>
    </row>
    <row customHeight="1" hidden="1" ht="14.25" outlineLevel="1" r="524" s="1843" spans="1:57">
      <c r="A524" s="2381" t="n"/>
      <c r="B524" s="66" t="n"/>
      <c r="C524" s="2379" t="s">
        <v>213</v>
      </c>
      <c r="D524" s="1303">
        <f>D490*D$542/D$508</f>
        <v/>
      </c>
      <c r="E524" s="1303">
        <f>E490*E$542/E$508</f>
        <v/>
      </c>
      <c r="F524" s="1303">
        <f>F490*F$542/F$508</f>
        <v/>
      </c>
      <c r="G524" s="1303">
        <f>G490*G$542/G$508</f>
        <v/>
      </c>
      <c r="H524" s="1303">
        <f>H490*H$542/H$508</f>
        <v/>
      </c>
      <c r="I524" s="1303">
        <f>I490*I$542/I$508</f>
        <v/>
      </c>
      <c r="J524" s="1303">
        <f>J490*J$542/J$508</f>
        <v/>
      </c>
      <c r="K524" s="1303">
        <f>K490*K$542/K$508</f>
        <v/>
      </c>
      <c r="L524" s="1303">
        <f>L490*L$542/L$508</f>
        <v/>
      </c>
      <c r="M524" s="1303">
        <f>M490*M$542/M$508</f>
        <v/>
      </c>
      <c r="N524" s="1303">
        <f>N490*N$542/N$508</f>
        <v/>
      </c>
      <c r="O524" s="1303">
        <f>O490*O$542/O$508</f>
        <v/>
      </c>
      <c r="P524" s="47">
        <f>SUM(D524:O524)</f>
        <v/>
      </c>
      <c r="R524" s="2362" t="n"/>
    </row>
    <row customHeight="1" hidden="1" ht="14.25" outlineLevel="1" r="525" s="1843" spans="1:57">
      <c r="A525" s="2381" t="n"/>
      <c r="B525" s="123" t="n"/>
      <c r="C525" s="2382" t="s">
        <v>195</v>
      </c>
      <c r="D525" s="1303">
        <f>D491*D$542/D$508</f>
        <v/>
      </c>
      <c r="E525" s="1303">
        <f>E491*E$542/E$508</f>
        <v/>
      </c>
      <c r="F525" s="1303">
        <f>F491*F$542/F$508</f>
        <v/>
      </c>
      <c r="G525" s="1303">
        <f>G491*G$542/G$508</f>
        <v/>
      </c>
      <c r="H525" s="1303">
        <f>H491*H$542/H$508</f>
        <v/>
      </c>
      <c r="I525" s="1303">
        <f>I491*I$542/I$508</f>
        <v/>
      </c>
      <c r="J525" s="1303">
        <f>J491*J$542/J$508</f>
        <v/>
      </c>
      <c r="K525" s="1303">
        <f>K491*K$542/K$508</f>
        <v/>
      </c>
      <c r="L525" s="1303">
        <f>L491*L$542/L$508</f>
        <v/>
      </c>
      <c r="M525" s="1303">
        <f>M491*M$542/M$508</f>
        <v/>
      </c>
      <c r="N525" s="1303">
        <f>N491*N$542/N$508</f>
        <v/>
      </c>
      <c r="O525" s="1303">
        <f>O491*O$542/O$508</f>
        <v/>
      </c>
      <c r="P525" s="46">
        <f>SUM(D525:O525)</f>
        <v/>
      </c>
      <c r="R525" s="2362" t="n"/>
    </row>
    <row customHeight="1" hidden="1" ht="14.25" outlineLevel="1" r="526" s="1843" spans="1:57">
      <c r="A526" s="2381" t="n"/>
      <c r="B526" s="70" t="s">
        <v>214</v>
      </c>
      <c r="C526" s="2406" t="n"/>
      <c r="D526" s="1302">
        <f>SUM(D519:D525)</f>
        <v/>
      </c>
      <c r="E526" s="73">
        <f>SUM(E519:E525)</f>
        <v/>
      </c>
      <c r="F526" s="73">
        <f>SUM(F519:F525)</f>
        <v/>
      </c>
      <c r="G526" s="73">
        <f>SUM(G519:G525)</f>
        <v/>
      </c>
      <c r="H526" s="73">
        <f>SUM(H519:H525)</f>
        <v/>
      </c>
      <c r="I526" s="73">
        <f>SUM(I519:I525)</f>
        <v/>
      </c>
      <c r="J526" s="73">
        <f>SUM(J519:J525)</f>
        <v/>
      </c>
      <c r="K526" s="73">
        <f>SUM(K519:K525)</f>
        <v/>
      </c>
      <c r="L526" s="73">
        <f>SUM(L519:L525)</f>
        <v/>
      </c>
      <c r="M526" s="73">
        <f>SUM(M519:M525)</f>
        <v/>
      </c>
      <c r="N526" s="73">
        <f>SUM(N519:N525)</f>
        <v/>
      </c>
      <c r="O526" s="73">
        <f>SUM(O519:O525)</f>
        <v/>
      </c>
      <c r="P526" s="76">
        <f>SUM(D526:O526)</f>
        <v/>
      </c>
      <c r="R526" s="2362" t="n"/>
    </row>
    <row customFormat="1" customHeight="1" hidden="1" ht="14.25" outlineLevel="1" r="527" s="2362" spans="1:57">
      <c r="A527" s="2407" t="n"/>
      <c r="B527" s="123" t="n"/>
      <c r="C527" s="2385" t="s">
        <v>161</v>
      </c>
      <c r="D527" s="1301">
        <f>D493*D$542/D$508</f>
        <v/>
      </c>
      <c r="E527" s="1301">
        <f>E493*E$542/E$508</f>
        <v/>
      </c>
      <c r="F527" s="1301">
        <f>F493*F$542/F$508</f>
        <v/>
      </c>
      <c r="G527" s="1301">
        <f>G493*G$542/G$508</f>
        <v/>
      </c>
      <c r="H527" s="1301">
        <f>H493*H$542/H$508</f>
        <v/>
      </c>
      <c r="I527" s="1301">
        <f>I493*I$542/I$508</f>
        <v/>
      </c>
      <c r="J527" s="1301">
        <f>J493*J$542/J$508</f>
        <v/>
      </c>
      <c r="K527" s="1301">
        <f>K493*K$542/K$508</f>
        <v/>
      </c>
      <c r="L527" s="1301">
        <f>L493*L$542/L$508</f>
        <v/>
      </c>
      <c r="M527" s="1301">
        <f>M493*M$542/M$508</f>
        <v/>
      </c>
      <c r="N527" s="1301">
        <f>N493*N$542/N$508</f>
        <v/>
      </c>
      <c r="O527" s="1301">
        <f>O493*O$542/O$508</f>
        <v/>
      </c>
      <c r="P527" s="85">
        <f>SUM(D527:O527)</f>
        <v/>
      </c>
      <c r="Q527" s="2362" t="n"/>
      <c r="R527" s="2362" t="n"/>
      <c r="S527" s="2362" t="n"/>
      <c r="T527" s="2362" t="n"/>
      <c r="U527" s="2362" t="n"/>
      <c r="V527" s="2362" t="n"/>
      <c r="W527" s="2362" t="n"/>
      <c r="X527" s="2362" t="n"/>
      <c r="Y527" s="2362" t="n"/>
      <c r="Z527" s="2362" t="n"/>
      <c r="AA527" s="2362" t="n"/>
      <c r="AB527" s="2362" t="n"/>
      <c r="AC527" s="2362" t="n"/>
      <c r="AD527" s="2362" t="n"/>
      <c r="AE527" s="2362" t="n"/>
    </row>
    <row customFormat="1" customHeight="1" hidden="1" ht="14.25" outlineLevel="1" r="528" s="2362" spans="1:57">
      <c r="A528" s="2407" t="n"/>
      <c r="B528" s="123" t="n"/>
      <c r="C528" s="2385" t="s">
        <v>215</v>
      </c>
      <c r="D528" s="1301">
        <f>D494*D$542/D$508</f>
        <v/>
      </c>
      <c r="E528" s="1301">
        <f>E494*E$542/E$508</f>
        <v/>
      </c>
      <c r="F528" s="1301">
        <f>F494*F$542/F$508</f>
        <v/>
      </c>
      <c r="G528" s="1301">
        <f>G494*G$542/G$508</f>
        <v/>
      </c>
      <c r="H528" s="1301">
        <f>H494*H$542/H$508</f>
        <v/>
      </c>
      <c r="I528" s="1301">
        <f>I494*I$542/I$508</f>
        <v/>
      </c>
      <c r="J528" s="1301">
        <f>J494*J$542/J$508</f>
        <v/>
      </c>
      <c r="K528" s="1301">
        <f>K494*K$542/K$508</f>
        <v/>
      </c>
      <c r="L528" s="1301">
        <f>L494*L$542/L$508</f>
        <v/>
      </c>
      <c r="M528" s="1301">
        <f>M494*M$542/M$508</f>
        <v/>
      </c>
      <c r="N528" s="1301">
        <f>N494*N$542/N$508</f>
        <v/>
      </c>
      <c r="O528" s="1301">
        <f>O494*O$542/O$508</f>
        <v/>
      </c>
      <c r="P528" s="85">
        <f>SUM(D528:O528)</f>
        <v/>
      </c>
      <c r="Q528" s="2362" t="n"/>
      <c r="R528" s="2362" t="n"/>
      <c r="S528" s="2362" t="n"/>
      <c r="T528" s="2362" t="n"/>
      <c r="U528" s="2362" t="n"/>
      <c r="V528" s="2362" t="n"/>
      <c r="W528" s="2362" t="n"/>
      <c r="X528" s="2362" t="n"/>
      <c r="Y528" s="2362" t="n"/>
      <c r="Z528" s="2362" t="n"/>
      <c r="AA528" s="2362" t="n"/>
      <c r="AB528" s="2362" t="n"/>
      <c r="AC528" s="2362" t="n"/>
      <c r="AD528" s="2362" t="n"/>
      <c r="AE528" s="2362" t="n"/>
    </row>
    <row customHeight="1" hidden="1" ht="14.25" outlineLevel="1" r="529" s="1843" spans="1:57">
      <c r="A529" s="2407" t="n"/>
      <c r="B529" s="1171" t="n"/>
      <c r="C529" s="2386" t="s">
        <v>197</v>
      </c>
      <c r="D529" s="1301">
        <f>D495*D$543/D$509</f>
        <v/>
      </c>
      <c r="E529" s="1301">
        <f>E495*E$543/E$509</f>
        <v/>
      </c>
      <c r="F529" s="1301">
        <f>F495*F$543/F$509</f>
        <v/>
      </c>
      <c r="G529" s="1301">
        <f>G495*G$543/G$509</f>
        <v/>
      </c>
      <c r="H529" s="1301">
        <f>H495*H$543/H$509</f>
        <v/>
      </c>
      <c r="I529" s="1301">
        <f>I495*I$543/I$509</f>
        <v/>
      </c>
      <c r="J529" s="1301">
        <f>J495*J$543/J$509</f>
        <v/>
      </c>
      <c r="K529" s="1301">
        <f>K495*K$543/K$509</f>
        <v/>
      </c>
      <c r="L529" s="1301">
        <f>L495*L$543/L$509</f>
        <v/>
      </c>
      <c r="M529" s="1301">
        <f>M495*M$543/M$509</f>
        <v/>
      </c>
      <c r="N529" s="1301">
        <f>N495*N$543/N$509</f>
        <v/>
      </c>
      <c r="O529" s="1301">
        <f>O495*O$543/O$509</f>
        <v/>
      </c>
      <c r="P529" s="85">
        <f>SUM(D529:O529)</f>
        <v/>
      </c>
      <c r="Q529" s="2362" t="n"/>
      <c r="R529" s="2362" t="n"/>
      <c r="S529" s="2362" t="n"/>
      <c r="T529" s="2362" t="n"/>
      <c r="U529" s="2362" t="n"/>
      <c r="V529" s="2362" t="n"/>
      <c r="W529" s="2362" t="n"/>
      <c r="X529" s="2362" t="n"/>
      <c r="Y529" s="2362" t="n"/>
      <c r="Z529" s="2362" t="n"/>
      <c r="AA529" s="2362" t="n"/>
      <c r="AB529" s="2362" t="n"/>
      <c r="AC529" s="2362" t="n"/>
      <c r="AD529" s="2362" t="n"/>
      <c r="AE529" s="2362" t="n"/>
    </row>
    <row customFormat="1" customHeight="1" hidden="1" ht="14.25" outlineLevel="1" r="530" s="2362" spans="1:57">
      <c r="A530" s="2407" t="n"/>
      <c r="B530" s="123" t="n"/>
      <c r="C530" s="2459" t="s">
        <v>198</v>
      </c>
      <c r="D530" s="1301" t="n"/>
      <c r="E530" s="1301" t="n"/>
      <c r="F530" s="1301" t="n"/>
      <c r="G530" s="1301" t="n"/>
      <c r="H530" s="1301" t="n"/>
      <c r="I530" s="1301" t="n"/>
      <c r="J530" s="1301" t="n"/>
      <c r="K530" s="1301" t="n"/>
      <c r="L530" s="1301" t="n"/>
      <c r="M530" s="1301" t="n"/>
      <c r="N530" s="1301" t="n"/>
      <c r="O530" s="1301" t="n"/>
      <c r="P530" s="85">
        <f>SUM(D530:O530)</f>
        <v/>
      </c>
      <c r="Q530" s="2362" t="n"/>
      <c r="R530" s="2362" t="n"/>
      <c r="S530" s="2362" t="n"/>
      <c r="T530" s="2362" t="n"/>
      <c r="U530" s="2362" t="n"/>
      <c r="V530" s="2362" t="n"/>
      <c r="W530" s="2362" t="n"/>
      <c r="X530" s="2362" t="n"/>
      <c r="Y530" s="2362" t="n"/>
      <c r="Z530" s="2362" t="n"/>
      <c r="AA530" s="2362" t="n"/>
      <c r="AB530" s="2362" t="n"/>
      <c r="AC530" s="2362" t="n"/>
      <c r="AD530" s="2362" t="n"/>
      <c r="AE530" s="2362" t="n"/>
    </row>
    <row customFormat="1" customHeight="1" hidden="1" ht="14.25" outlineLevel="1" r="531" s="2362" spans="1:57">
      <c r="A531" s="2407" t="n"/>
      <c r="B531" s="123" t="n"/>
      <c r="C531" s="2459" t="s">
        <v>199</v>
      </c>
      <c r="D531" s="1301">
        <f>D497*D$543/D$509</f>
        <v/>
      </c>
      <c r="E531" s="1301">
        <f>E497*E$543/E$509</f>
        <v/>
      </c>
      <c r="F531" s="1301">
        <f>F497*F$543/F$509</f>
        <v/>
      </c>
      <c r="G531" s="1301">
        <f>G497*G$543/G$509</f>
        <v/>
      </c>
      <c r="H531" s="1301">
        <f>H497*H$543/H$509</f>
        <v/>
      </c>
      <c r="I531" s="1301">
        <f>I497*I$543/I$509</f>
        <v/>
      </c>
      <c r="J531" s="1301">
        <f>J497*J$543/J$509</f>
        <v/>
      </c>
      <c r="K531" s="1301">
        <f>K497*K$543/K$509</f>
        <v/>
      </c>
      <c r="L531" s="1301">
        <f>L497*L$543/L$509</f>
        <v/>
      </c>
      <c r="M531" s="1301">
        <f>M497*M$543/M$509</f>
        <v/>
      </c>
      <c r="N531" s="1301">
        <f>N497*N$543/N$509</f>
        <v/>
      </c>
      <c r="O531" s="1301">
        <f>O497*O$543/O$509</f>
        <v/>
      </c>
      <c r="P531" s="85">
        <f>SUM(D531:O531)</f>
        <v/>
      </c>
      <c r="Q531" s="2362" t="n"/>
      <c r="R531" s="2362" t="n"/>
      <c r="S531" s="2362" t="n"/>
      <c r="T531" s="2362" t="n"/>
      <c r="U531" s="2362" t="n"/>
      <c r="V531" s="2362" t="n"/>
      <c r="W531" s="2362" t="n"/>
      <c r="X531" s="2362" t="n"/>
      <c r="Y531" s="2362" t="n"/>
      <c r="Z531" s="2362" t="n"/>
      <c r="AA531" s="2362" t="n"/>
      <c r="AB531" s="2362" t="n"/>
      <c r="AC531" s="2362" t="n"/>
      <c r="AD531" s="2362" t="n"/>
      <c r="AE531" s="2362" t="n"/>
    </row>
    <row customHeight="1" hidden="1" ht="14.25" outlineLevel="1" r="532" s="1843" spans="1:57">
      <c r="A532" s="2407" t="n"/>
      <c r="B532" s="123" t="n"/>
      <c r="C532" s="2385" t="s">
        <v>200</v>
      </c>
      <c r="D532" s="962" t="n"/>
      <c r="E532" s="962" t="n"/>
      <c r="F532" s="962" t="n"/>
      <c r="G532" s="962" t="n"/>
      <c r="H532" s="962" t="n"/>
      <c r="I532" s="962" t="n"/>
      <c r="J532" s="962" t="n"/>
      <c r="K532" s="962" t="n"/>
      <c r="L532" s="962" t="n"/>
      <c r="M532" s="962" t="n"/>
      <c r="N532" s="962" t="n"/>
      <c r="O532" s="962" t="n"/>
      <c r="P532" s="85">
        <f>SUM(D532:O532)</f>
        <v/>
      </c>
      <c r="Q532" s="2362" t="n"/>
      <c r="R532" s="2362" t="n"/>
      <c r="S532" s="2362" t="n"/>
      <c r="T532" s="2362" t="n"/>
      <c r="U532" s="2362" t="n"/>
      <c r="V532" s="2362" t="n"/>
      <c r="W532" s="2362" t="n"/>
      <c r="X532" s="2362" t="n"/>
      <c r="Y532" s="2362" t="n"/>
      <c r="Z532" s="2362" t="n"/>
      <c r="AA532" s="2362" t="n"/>
      <c r="AB532" s="2362" t="n"/>
      <c r="AC532" s="2362" t="n"/>
      <c r="AD532" s="2362" t="n"/>
      <c r="AE532" s="2362" t="n"/>
    </row>
    <row customFormat="1" customHeight="1" hidden="1" ht="14.25" outlineLevel="1" r="533" s="2437" spans="1:57">
      <c r="A533" s="2407" t="n"/>
      <c r="B533" s="123" t="n"/>
      <c r="C533" s="2385" t="s">
        <v>201</v>
      </c>
      <c r="D533" s="1301">
        <f>D499*D$550/D$516</f>
        <v/>
      </c>
      <c r="E533" s="1301">
        <f>E499*E$550/E$516</f>
        <v/>
      </c>
      <c r="F533" s="1301">
        <f>F499*F$550/F$516</f>
        <v/>
      </c>
      <c r="G533" s="1301">
        <f>G499*G$550/G$516</f>
        <v/>
      </c>
      <c r="H533" s="1301">
        <f>H499*H$550/H$516</f>
        <v/>
      </c>
      <c r="I533" s="1301">
        <f>I499*I$550/I$516</f>
        <v/>
      </c>
      <c r="J533" s="1301">
        <f>J499*J$550/J$516</f>
        <v/>
      </c>
      <c r="K533" s="1301">
        <f>K499*K$550/K$516</f>
        <v/>
      </c>
      <c r="L533" s="1301">
        <f>L499*L$550/L$516</f>
        <v/>
      </c>
      <c r="M533" s="1301">
        <f>M499*M$550/M$516</f>
        <v/>
      </c>
      <c r="N533" s="1301">
        <f>N499*N$550/N$516</f>
        <v/>
      </c>
      <c r="O533" s="1301">
        <f>O499*O$550/O$516</f>
        <v/>
      </c>
      <c r="P533" s="85">
        <f>SUM(D533:O533)</f>
        <v/>
      </c>
      <c r="Q533" s="2362" t="n"/>
      <c r="R533" s="2362" t="n"/>
      <c r="S533" s="2362" t="n"/>
      <c r="T533" s="2362" t="n"/>
      <c r="U533" s="2362" t="n"/>
      <c r="V533" s="2362" t="n"/>
      <c r="W533" s="2362" t="n"/>
      <c r="X533" s="2362" t="n"/>
      <c r="Y533" s="2362" t="n"/>
      <c r="Z533" s="2362" t="n"/>
      <c r="AA533" s="2362" t="n"/>
      <c r="AB533" s="2362" t="n"/>
      <c r="AC533" s="2362" t="n"/>
      <c r="AD533" s="2362" t="n"/>
      <c r="AE533" s="2362" t="n"/>
      <c r="AF533" s="2362" t="n"/>
      <c r="AG533" s="2362" t="n"/>
      <c r="AH533" s="2362" t="n"/>
      <c r="AI533" s="2362" t="n"/>
      <c r="AJ533" s="2362" t="n"/>
      <c r="AK533" s="2362" t="n"/>
      <c r="AL533" s="2362" t="n"/>
      <c r="AM533" s="2362" t="n"/>
      <c r="AN533" s="2362" t="n"/>
      <c r="AO533" s="2362" t="n"/>
      <c r="AP533" s="2362" t="n"/>
      <c r="AQ533" s="2362" t="n"/>
      <c r="AR533" s="2362" t="n"/>
      <c r="AS533" s="2362" t="n"/>
      <c r="AT533" s="2362" t="n"/>
      <c r="AU533" s="2362" t="n"/>
      <c r="AV533" s="2362" t="n"/>
      <c r="AW533" s="2362" t="n"/>
      <c r="AX533" s="2362" t="n"/>
      <c r="AY533" s="2362" t="n"/>
      <c r="AZ533" s="2362" t="n"/>
      <c r="BA533" s="2362" t="n"/>
      <c r="BB533" s="2362" t="n"/>
      <c r="BC533" s="2362" t="n"/>
      <c r="BD533" s="2362" t="n"/>
      <c r="BE533" s="2362" t="n"/>
    </row>
    <row customFormat="1" customHeight="1" hidden="1" ht="36" outlineLevel="1" r="534" s="2369" spans="1:57">
      <c r="A534" s="2408" t="n"/>
      <c r="B534" s="71" t="n"/>
      <c r="C534" s="2384" t="s">
        <v>202</v>
      </c>
      <c r="D534" s="962" t="n"/>
      <c r="E534" s="962" t="n"/>
      <c r="F534" s="962" t="n"/>
      <c r="G534" s="962" t="n"/>
      <c r="H534" s="962" t="n"/>
      <c r="I534" s="962" t="n"/>
      <c r="J534" s="962" t="n"/>
      <c r="K534" s="962" t="n"/>
      <c r="L534" s="962" t="n"/>
      <c r="M534" s="962" t="n"/>
      <c r="N534" s="962" t="n"/>
      <c r="O534" s="962" t="n"/>
      <c r="P534" s="85">
        <f>SUM(D534:O534)</f>
        <v/>
      </c>
      <c r="Q534" s="2422" t="n"/>
      <c r="R534" s="2362" t="n"/>
      <c r="S534" s="2422" t="n"/>
      <c r="T534" s="2422" t="n"/>
      <c r="U534" s="2422" t="n"/>
      <c r="V534" s="2422" t="n"/>
      <c r="W534" s="2422" t="n"/>
      <c r="X534" s="2422" t="n"/>
      <c r="Y534" s="2422" t="n"/>
      <c r="Z534" s="2422" t="n"/>
      <c r="AA534" s="2422" t="n"/>
      <c r="AB534" s="2422" t="n"/>
      <c r="AC534" s="2422" t="n"/>
      <c r="AD534" s="2422" t="n"/>
      <c r="AE534" s="2422" t="n"/>
      <c r="AF534" s="2422" t="n"/>
      <c r="AG534" s="2422" t="n"/>
      <c r="AH534" s="2422" t="n"/>
      <c r="AI534" s="2422" t="n"/>
      <c r="AJ534" s="2422" t="n"/>
      <c r="AK534" s="2422" t="n"/>
      <c r="AL534" s="2422" t="n"/>
      <c r="AM534" s="2422" t="n"/>
      <c r="AN534" s="2422" t="n"/>
      <c r="AO534" s="2422" t="n"/>
      <c r="AP534" s="2422" t="n"/>
      <c r="AQ534" s="2422" t="n"/>
      <c r="AR534" s="2422" t="n"/>
      <c r="AS534" s="2422" t="n"/>
    </row>
    <row customHeight="1" hidden="1" ht="14.25" outlineLevel="1" r="535" s="1843" spans="1:57">
      <c r="A535" s="2407" t="n"/>
      <c r="B535" s="139" t="n"/>
      <c r="C535" s="2439" t="s">
        <v>216</v>
      </c>
      <c r="D535" s="1187">
        <f>D$501*SUM(D$542,D$547)/SUM(D$508,D$513)</f>
        <v/>
      </c>
      <c r="E535" s="1187">
        <f>E$501*SUM(E$542,E$547)/SUM(E$508,E$513)</f>
        <v/>
      </c>
      <c r="F535" s="1187">
        <f>F$501*SUM(F$542,F$547)/SUM(F$508,F$513)</f>
        <v/>
      </c>
      <c r="G535" s="1187">
        <f>G$501*SUM(G$542,G$547)/SUM(G$508,G$513)</f>
        <v/>
      </c>
      <c r="H535" s="1187">
        <f>H$501*SUM(H$542,H$547)/SUM(H$508,H$513)</f>
        <v/>
      </c>
      <c r="I535" s="1187">
        <f>I$501*SUM(I$542,I$547)/SUM(I$508,I$513)</f>
        <v/>
      </c>
      <c r="J535" s="1187">
        <f>J$501*SUM(J$542,J$547)/SUM(J$508,J$513)</f>
        <v/>
      </c>
      <c r="K535" s="1187">
        <f>K$501*SUM(K$542,K$547)/SUM(K$508,K$513)</f>
        <v/>
      </c>
      <c r="L535" s="1187">
        <f>L$501*SUM(L$542,L$547)/SUM(L$508,L$513)</f>
        <v/>
      </c>
      <c r="M535" s="1187">
        <f>M$501*SUM(M$542,M$547)/SUM(M$508,M$513)</f>
        <v/>
      </c>
      <c r="N535" s="1187">
        <f>N$501*SUM(N$542,N$547)/SUM(N$508,N$513)</f>
        <v/>
      </c>
      <c r="O535" s="1187">
        <f>O$501*SUM(O$542,O$547)/SUM(O$508,O$513)</f>
        <v/>
      </c>
      <c r="P535" s="1173">
        <f>SUM(D535:O535)</f>
        <v/>
      </c>
      <c r="Q535" s="2362" t="n"/>
      <c r="R535" s="2362" t="n"/>
      <c r="S535" s="2362" t="n"/>
      <c r="T535" s="2362" t="n"/>
      <c r="U535" s="2362" t="n"/>
      <c r="V535" s="2362" t="n"/>
      <c r="W535" s="2362" t="n"/>
      <c r="X535" s="2362" t="n"/>
      <c r="Y535" s="2362" t="n"/>
      <c r="Z535" s="2362" t="n"/>
      <c r="AA535" s="2362" t="n"/>
      <c r="AB535" s="2362" t="n"/>
      <c r="AC535" s="2362" t="n"/>
      <c r="AD535" s="2362" t="n"/>
      <c r="AE535" s="2362" t="n"/>
      <c r="AF535" s="2362" t="n"/>
      <c r="AG535" s="2362" t="n"/>
      <c r="AH535" s="2362" t="n"/>
      <c r="AI535" s="2362" t="n"/>
      <c r="AJ535" s="2362" t="n"/>
      <c r="AK535" s="2362" t="n"/>
      <c r="AL535" s="2362" t="n"/>
      <c r="AM535" s="2362" t="n"/>
      <c r="AN535" s="2362" t="n"/>
      <c r="AO535" s="2362" t="n"/>
      <c r="AP535" s="2362" t="n"/>
      <c r="AQ535" s="2362" t="n"/>
      <c r="AR535" s="2362" t="n"/>
      <c r="AS535" s="2362" t="n"/>
    </row>
    <row customHeight="1" hidden="1" ht="15" outlineLevel="1" r="536" s="1843" spans="1:57" thickBot="1">
      <c r="A536" s="2408" t="n"/>
      <c r="B536" s="70" t="s">
        <v>217</v>
      </c>
      <c r="C536" s="2406" t="n"/>
      <c r="D536" s="73">
        <f>SUM(D527:D535)</f>
        <v/>
      </c>
      <c r="E536" s="73">
        <f>SUM(E527:E535)</f>
        <v/>
      </c>
      <c r="F536" s="73">
        <f>SUM(F527:F535)</f>
        <v/>
      </c>
      <c r="G536" s="73">
        <f>SUM(G527:G535)</f>
        <v/>
      </c>
      <c r="H536" s="73">
        <f>SUM(H527:H535)</f>
        <v/>
      </c>
      <c r="I536" s="73">
        <f>SUM(I527:I535)</f>
        <v/>
      </c>
      <c r="J536" s="73">
        <f>SUM(J527:J535)</f>
        <v/>
      </c>
      <c r="K536" s="73">
        <f>SUM(K527:K535)</f>
        <v/>
      </c>
      <c r="L536" s="73">
        <f>SUM(L527:L535)</f>
        <v/>
      </c>
      <c r="M536" s="73">
        <f>SUM(M527:M535)</f>
        <v/>
      </c>
      <c r="N536" s="73">
        <f>SUM(N527:N535)</f>
        <v/>
      </c>
      <c r="O536" s="73">
        <f>SUM(O527:O535)</f>
        <v/>
      </c>
      <c r="P536" s="76">
        <f>SUM(D536:O536)</f>
        <v/>
      </c>
      <c r="R536" s="2422" t="n"/>
    </row>
    <row customFormat="1" customHeight="1" hidden="1" ht="15" outlineLevel="1" r="537" s="2362" spans="1:57" thickBot="1">
      <c r="A537" s="2362" t="n"/>
      <c r="B537" s="1324" t="n"/>
      <c r="C537" s="2449" t="s">
        <v>218</v>
      </c>
      <c r="D537" s="1323">
        <f>SUM(D526,D536)</f>
        <v/>
      </c>
      <c r="E537" s="1323">
        <f>SUM(E526,E536)</f>
        <v/>
      </c>
      <c r="F537" s="1323">
        <f>SUM(F526,F536)</f>
        <v/>
      </c>
      <c r="G537" s="1323">
        <f>SUM(G526,G536)</f>
        <v/>
      </c>
      <c r="H537" s="1323">
        <f>SUM(H526,H536)</f>
        <v/>
      </c>
      <c r="I537" s="1323">
        <f>SUM(I526,I536)</f>
        <v/>
      </c>
      <c r="J537" s="1323">
        <f>SUM(J526,J536)</f>
        <v/>
      </c>
      <c r="K537" s="1323">
        <f>SUM(K526,K536)</f>
        <v/>
      </c>
      <c r="L537" s="1323">
        <f>SUM(L526,L536)</f>
        <v/>
      </c>
      <c r="M537" s="1323">
        <f>SUM(M526,M536)</f>
        <v/>
      </c>
      <c r="N537" s="1323">
        <f>SUM(N526,N536)</f>
        <v/>
      </c>
      <c r="O537" s="1323">
        <f>SUM(O526,O536)</f>
        <v/>
      </c>
      <c r="P537" s="89">
        <f>SUM(P526,P536)</f>
        <v/>
      </c>
      <c r="R537" s="2362" t="n"/>
    </row>
    <row customFormat="1" customHeight="1" hidden="1" ht="14.25" outlineLevel="1" r="538" s="2362" spans="1:57">
      <c r="A538" s="2392" t="s">
        <v>203</v>
      </c>
      <c r="B538" s="2395" t="n"/>
      <c r="C538" s="2413" t="s">
        <v>204</v>
      </c>
      <c r="D538" s="2424" t="n">
        <v>0.5</v>
      </c>
      <c r="E538" s="2424" t="n">
        <v>0.5</v>
      </c>
      <c r="F538" s="2424" t="n">
        <v>0.5</v>
      </c>
      <c r="G538" s="2424" t="n">
        <v>0.5</v>
      </c>
      <c r="H538" s="2424" t="n">
        <v>0.5</v>
      </c>
      <c r="I538" s="2424" t="n">
        <v>0.5</v>
      </c>
      <c r="J538" s="2424" t="n">
        <v>0.5</v>
      </c>
      <c r="K538" s="2424" t="n">
        <v>0.5</v>
      </c>
      <c r="L538" s="2424" t="n">
        <v>0.5</v>
      </c>
      <c r="M538" s="2424" t="n">
        <v>0.5</v>
      </c>
      <c r="N538" s="2424" t="n">
        <v>0.5</v>
      </c>
      <c r="O538" s="2424" t="n">
        <v>0.5</v>
      </c>
      <c r="P538" s="137" t="n"/>
      <c r="R538" s="2362" t="n"/>
    </row>
    <row customFormat="1" customHeight="1" hidden="1" ht="14.25" outlineLevel="1" r="539" s="2362" spans="1:57">
      <c r="B539" s="2395" t="n"/>
      <c r="C539" s="2399" t="s">
        <v>14</v>
      </c>
      <c r="D539" s="1395" t="n">
        <v>1</v>
      </c>
      <c r="E539" s="1395" t="n">
        <v>1</v>
      </c>
      <c r="F539" s="1395" t="n">
        <v>1</v>
      </c>
      <c r="G539" s="1395" t="n">
        <v>1</v>
      </c>
      <c r="H539" s="1395" t="n">
        <v>1</v>
      </c>
      <c r="I539" s="1395" t="n">
        <v>1</v>
      </c>
      <c r="J539" s="1395" t="n">
        <v>1</v>
      </c>
      <c r="K539" s="1395" t="n">
        <v>1</v>
      </c>
      <c r="L539" s="1395" t="n">
        <v>1</v>
      </c>
      <c r="M539" s="1395" t="n">
        <v>1</v>
      </c>
      <c r="N539" s="1395" t="n">
        <v>1</v>
      </c>
      <c r="O539" s="1395" t="n">
        <v>1</v>
      </c>
      <c r="P539" s="137" t="n"/>
      <c r="R539" s="2362" t="n"/>
    </row>
    <row customFormat="1" customHeight="1" hidden="1" ht="14.25" outlineLevel="1" r="540" s="2362" spans="1:57">
      <c r="B540" s="2395" t="n"/>
      <c r="C540" s="2399" t="s">
        <v>15</v>
      </c>
      <c r="D540" s="1395" t="n">
        <v>0</v>
      </c>
      <c r="E540" s="1395" t="n">
        <v>0</v>
      </c>
      <c r="F540" s="1395" t="n">
        <v>0</v>
      </c>
      <c r="G540" s="1395" t="n">
        <v>0</v>
      </c>
      <c r="H540" s="1395" t="n">
        <v>0</v>
      </c>
      <c r="I540" s="1395" t="n">
        <v>0</v>
      </c>
      <c r="J540" s="1395" t="n">
        <v>0</v>
      </c>
      <c r="K540" s="1395" t="n">
        <v>0</v>
      </c>
      <c r="L540" s="1395" t="n">
        <v>0</v>
      </c>
      <c r="M540" s="1395" t="n">
        <v>0</v>
      </c>
      <c r="N540" s="1395" t="n">
        <v>0</v>
      </c>
      <c r="O540" s="1395" t="n">
        <v>0</v>
      </c>
      <c r="P540" s="137" t="n"/>
      <c r="R540" s="2362" t="n"/>
    </row>
    <row customFormat="1" customHeight="1" hidden="1" ht="14.25" outlineLevel="1" r="541" s="2362" spans="1:57">
      <c r="B541" s="2395" t="n"/>
      <c r="C541" s="2399" t="s">
        <v>16</v>
      </c>
      <c r="D541" s="1395" t="n">
        <v>0</v>
      </c>
      <c r="E541" s="1395" t="n">
        <v>0</v>
      </c>
      <c r="F541" s="1395" t="n">
        <v>0</v>
      </c>
      <c r="G541" s="1395" t="n">
        <v>0</v>
      </c>
      <c r="H541" s="1395" t="n">
        <v>0</v>
      </c>
      <c r="I541" s="1395" t="n">
        <v>0</v>
      </c>
      <c r="J541" s="1395" t="n">
        <v>0</v>
      </c>
      <c r="K541" s="1395" t="n">
        <v>0</v>
      </c>
      <c r="L541" s="1395" t="n">
        <v>0</v>
      </c>
      <c r="M541" s="1395" t="n">
        <v>0</v>
      </c>
      <c r="N541" s="1395" t="n">
        <v>0</v>
      </c>
      <c r="O541" s="1395" t="n">
        <v>0</v>
      </c>
      <c r="P541" s="137" t="n"/>
    </row>
    <row customFormat="1" customHeight="1" hidden="1" ht="14.25" outlineLevel="1" r="542" s="2362" spans="1:57">
      <c r="B542" s="2395" t="n"/>
      <c r="C542" s="2396" t="s">
        <v>80</v>
      </c>
      <c r="D542" s="2414">
        <f>SUM(D538:D541)</f>
        <v/>
      </c>
      <c r="E542" s="2414">
        <f>SUM(E538:E541)</f>
        <v/>
      </c>
      <c r="F542" s="2414">
        <f>SUM(F538:F541)</f>
        <v/>
      </c>
      <c r="G542" s="2414">
        <f>SUM(G538:G541)</f>
        <v/>
      </c>
      <c r="H542" s="2414">
        <f>SUM(H538:H541)</f>
        <v/>
      </c>
      <c r="I542" s="2414">
        <f>SUM(I538:I541)</f>
        <v/>
      </c>
      <c r="J542" s="2414">
        <f>SUM(J538:J541)</f>
        <v/>
      </c>
      <c r="K542" s="2414">
        <f>SUM(K538:K541)</f>
        <v/>
      </c>
      <c r="L542" s="2414">
        <f>SUM(L538:L541)</f>
        <v/>
      </c>
      <c r="M542" s="2414">
        <f>SUM(M538:M541)</f>
        <v/>
      </c>
      <c r="N542" s="2414">
        <f>SUM(N538:N541)</f>
        <v/>
      </c>
      <c r="O542" s="2463">
        <f>SUM(O538:O541)</f>
        <v/>
      </c>
      <c r="P542" s="137" t="n"/>
    </row>
    <row customFormat="1" customHeight="1" hidden="1" ht="14.25" outlineLevel="1" r="543" s="2362" spans="1:57">
      <c r="B543" s="2395" t="n"/>
      <c r="C543" s="2396" t="s">
        <v>206</v>
      </c>
      <c r="D543" s="1234" t="n">
        <v>1.5</v>
      </c>
      <c r="E543" s="1234" t="n">
        <v>1.5</v>
      </c>
      <c r="F543" s="1234" t="n">
        <v>1.5</v>
      </c>
      <c r="G543" s="1234" t="n">
        <v>1.5</v>
      </c>
      <c r="H543" s="1234" t="n">
        <v>1.5</v>
      </c>
      <c r="I543" s="1234" t="n">
        <v>1.5</v>
      </c>
      <c r="J543" s="1234" t="n">
        <v>1.5</v>
      </c>
      <c r="K543" s="1234" t="n">
        <v>1.5</v>
      </c>
      <c r="L543" s="1234" t="n">
        <v>1.5</v>
      </c>
      <c r="M543" s="1234" t="n">
        <v>1.5</v>
      </c>
      <c r="N543" s="1234" t="n">
        <v>1.5</v>
      </c>
      <c r="O543" s="1234" t="n">
        <v>1.5</v>
      </c>
      <c r="P543" s="1240" t="n"/>
    </row>
    <row customFormat="1" customHeight="1" hidden="1" ht="14.25" outlineLevel="1" r="544" s="2362" spans="1:57">
      <c r="B544" s="2395" t="n"/>
      <c r="C544" s="2397" t="s">
        <v>207</v>
      </c>
      <c r="D544" s="1251">
        <f>D542-D543</f>
        <v/>
      </c>
      <c r="E544" s="1251">
        <f>E542-E543</f>
        <v/>
      </c>
      <c r="F544" s="1251">
        <f>F542-F543</f>
        <v/>
      </c>
      <c r="G544" s="1251">
        <f>G542-G543</f>
        <v/>
      </c>
      <c r="H544" s="1251">
        <f>H542-H543</f>
        <v/>
      </c>
      <c r="I544" s="1251">
        <f>I542-I543</f>
        <v/>
      </c>
      <c r="J544" s="1251">
        <f>J542-J543</f>
        <v/>
      </c>
      <c r="K544" s="1251">
        <f>K542-K543</f>
        <v/>
      </c>
      <c r="L544" s="1251">
        <f>L542-L543</f>
        <v/>
      </c>
      <c r="M544" s="1251">
        <f>M542-M543</f>
        <v/>
      </c>
      <c r="N544" s="1251">
        <f>N542-N543</f>
        <v/>
      </c>
      <c r="O544" s="1251">
        <f>O542-O543</f>
        <v/>
      </c>
      <c r="P544" s="1216" t="n"/>
    </row>
    <row customFormat="1" customHeight="1" hidden="1" ht="14.25" outlineLevel="1" r="545" s="2362" spans="1:57">
      <c r="A545" s="2434" t="s">
        <v>157</v>
      </c>
      <c r="B545" s="2395" t="n"/>
      <c r="C545" s="2441" t="s">
        <v>208</v>
      </c>
      <c r="D545" s="2464">
        <f>SUMPRODUCT(('FY18 SET'!$B$4:$B67=$A$521)*('FY18 SET'!$F$4:$F67="实际OS")*('FY18 SET'!G$4:G$67))+SUMPRODUCT(('FY18 SET'!$B$4:$B67=$A$522)*('FY18 SET'!$F$4:$F67="实际OS")*('FY18 SET'!G$4:G$67))</f>
        <v/>
      </c>
      <c r="E545" s="2464">
        <f>SUMPRODUCT(('FY18 SET'!$B$4:$B67=$A$521)*('FY18 SET'!$F$4:$F67="实际OS")*('FY18 SET'!H$4:H$67))+SUMPRODUCT(('FY18 SET'!$B$4:$B67=$A$522)*('FY18 SET'!$F$4:$F67="实际OS")*('FY18 SET'!H$4:H$67))</f>
        <v/>
      </c>
      <c r="F545" s="2464">
        <f>SUMPRODUCT(('FY18 SET'!$B$4:$B67=$A$521)*('FY18 SET'!$F$4:$F67="实际OS")*('FY18 SET'!I$4:I$67))+SUMPRODUCT(('FY18 SET'!$B$4:$B67=$A$522)*('FY18 SET'!$F$4:$F67="实际OS")*('FY18 SET'!I$4:I$67))</f>
        <v/>
      </c>
      <c r="G545" s="2464">
        <f>SUMPRODUCT(('FY18 SET'!$B$4:$B67=$A$521)*('FY18 SET'!$F$4:$F67="实际OS")*('FY18 SET'!J$4:J$67))+SUMPRODUCT(('FY18 SET'!$B$4:$B67=$A$522)*('FY18 SET'!$F$4:$F67="实际OS")*('FY18 SET'!J$4:J$67))</f>
        <v/>
      </c>
      <c r="H545" s="2464">
        <f>SUMPRODUCT(('FY18 SET'!$B$4:$B67=$A$521)*('FY18 SET'!$F$4:$F67="实际OS")*('FY18 SET'!K$4:K$67))+SUMPRODUCT(('FY18 SET'!$B$4:$B67=$A$522)*('FY18 SET'!$F$4:$F67="实际OS")*('FY18 SET'!K$4:K$67))</f>
        <v/>
      </c>
      <c r="I545" s="2464">
        <f>SUMPRODUCT(('FY18 SET'!$B$4:$B67=$A$521)*('FY18 SET'!$F$4:$F67="实际OS")*('FY18 SET'!L$4:L$67))+SUMPRODUCT(('FY18 SET'!$B$4:$B67=$A$522)*('FY18 SET'!$F$4:$F67="实际OS")*('FY18 SET'!L$4:L$67))</f>
        <v/>
      </c>
      <c r="J545" s="2464">
        <f>SUMPRODUCT(('FY18 SET'!$B$4:$B67=$A$521)*('FY18 SET'!$F$4:$F67="实际OS")*('FY18 SET'!N$4:N$67))+SUMPRODUCT(('FY18 SET'!$B$4:$B67=$A$522)*('FY18 SET'!$F$4:$F67="实际OS")*('FY18 SET'!N$4:N$67))</f>
        <v/>
      </c>
      <c r="K545" s="2464">
        <f>SUMPRODUCT(('FY18 SET'!$B$4:$B67=$A$521)*('FY18 SET'!$F$4:$F67="实际OS")*('FY18 SET'!O$4:O$67))+SUMPRODUCT(('FY18 SET'!$B$4:$B67=$A$522)*('FY18 SET'!$F$4:$F67="实际OS")*('FY18 SET'!O$4:O$67))</f>
        <v/>
      </c>
      <c r="L545" s="2464">
        <f>SUMPRODUCT(('FY18 SET'!$B$4:$B67=$A$521)*('FY18 SET'!$F$4:$F67="实际OS")*('FY18 SET'!P$4:P$67))+SUMPRODUCT(('FY18 SET'!$B$4:$B67=$A$522)*('FY18 SET'!$F$4:$F67="实际OS")*('FY18 SET'!P$4:P$67))</f>
        <v/>
      </c>
      <c r="M545" s="2464">
        <f>SUMPRODUCT(('FY18 SET'!$B$4:$B67=$A$521)*('FY18 SET'!$F$4:$F67="实际OS")*('FY18 SET'!Q$4:Q$67))+SUMPRODUCT(('FY18 SET'!$B$4:$B67=$A$522)*('FY18 SET'!$F$4:$F67="实际OS")*('FY18 SET'!Q$4:Q$67))</f>
        <v/>
      </c>
      <c r="N545" s="2464">
        <f>SUMPRODUCT(('FY18 SET'!$B$4:$B67=$A$521)*('FY18 SET'!$F$4:$F67="实际OS")*('FY18 SET'!R$4:R$67))+SUMPRODUCT(('FY18 SET'!$B$4:$B67=$A$522)*('FY18 SET'!$F$4:$F67="实际OS")*('FY18 SET'!R$4:R$67))</f>
        <v/>
      </c>
      <c r="O545" s="2464">
        <f>SUMPRODUCT(('FY18 SET'!$B$4:$B67=$A$521)*('FY18 SET'!$F$4:$F67="实际OS")*('FY18 SET'!S$4:S$67))+SUMPRODUCT(('FY18 SET'!$B$4:$B67=$A$522)*('FY18 SET'!$F$4:$F67="实际OS")*('FY18 SET'!S$4:S$67))</f>
        <v/>
      </c>
      <c r="P545" s="1216" t="n"/>
      <c r="R545" s="2362" t="n"/>
    </row>
    <row customFormat="1" customHeight="1" hidden="1" ht="14.25" outlineLevel="1" r="546" s="2362" spans="1:57">
      <c r="B546" s="2395" t="n"/>
      <c r="C546" s="2442" t="s">
        <v>209</v>
      </c>
      <c r="D546" s="1232" t="n"/>
      <c r="E546" s="1232" t="n"/>
      <c r="F546" s="1232" t="n"/>
      <c r="G546" s="1232" t="n"/>
      <c r="H546" s="1232" t="n"/>
      <c r="I546" s="1232" t="n"/>
      <c r="J546" s="1232" t="n"/>
      <c r="K546" s="1232" t="n"/>
      <c r="L546" s="1232" t="n"/>
      <c r="M546" s="1232" t="n"/>
      <c r="N546" s="1232" t="n"/>
      <c r="O546" s="1232" t="n"/>
      <c r="P546" s="1216" t="n"/>
      <c r="R546" s="2362" t="n"/>
    </row>
    <row customFormat="1" customHeight="1" hidden="1" ht="14.25" outlineLevel="1" r="547" s="2362" spans="1:57">
      <c r="B547" s="2395" t="n"/>
      <c r="C547" s="2443" t="s">
        <v>211</v>
      </c>
      <c r="D547" s="1233">
        <f>SUM(D545:D546)</f>
        <v/>
      </c>
      <c r="E547" s="1233">
        <f>SUM(E545:E546)</f>
        <v/>
      </c>
      <c r="F547" s="1233">
        <f>SUM(F545:F546)</f>
        <v/>
      </c>
      <c r="G547" s="1233">
        <f>SUM(G545:G546)</f>
        <v/>
      </c>
      <c r="H547" s="1233">
        <f>SUM(H545:H546)</f>
        <v/>
      </c>
      <c r="I547" s="1233">
        <f>SUM(I545:I546)</f>
        <v/>
      </c>
      <c r="J547" s="1233">
        <f>SUM(J545:J546)</f>
        <v/>
      </c>
      <c r="K547" s="1233">
        <f>SUM(K545:K546)</f>
        <v/>
      </c>
      <c r="L547" s="1233">
        <f>SUM(L545:L546)</f>
        <v/>
      </c>
      <c r="M547" s="1233">
        <f>SUM(M545:M546)</f>
        <v/>
      </c>
      <c r="N547" s="1233">
        <f>SUM(N545:N546)</f>
        <v/>
      </c>
      <c r="O547" s="1250">
        <f>SUM(O545:O546)</f>
        <v/>
      </c>
      <c r="P547" s="1216" t="n"/>
    </row>
    <row customFormat="1" customHeight="1" hidden="1" ht="14.25" outlineLevel="1" r="548" s="2362" spans="1:57">
      <c r="A548" s="2416" t="s">
        <v>219</v>
      </c>
      <c r="B548" s="2417" t="n"/>
      <c r="C548" s="2444" t="s">
        <v>220</v>
      </c>
      <c r="D548" s="1278">
        <f>SUM(D543,D545)</f>
        <v/>
      </c>
      <c r="E548" s="1270">
        <f>SUM(E543,E545)</f>
        <v/>
      </c>
      <c r="F548" s="1270">
        <f>SUM(F543,F545)</f>
        <v/>
      </c>
      <c r="G548" s="1270">
        <f>SUM(G543,G545)</f>
        <v/>
      </c>
      <c r="H548" s="1270">
        <f>SUM(H543,H545)</f>
        <v/>
      </c>
      <c r="I548" s="1270">
        <f>SUM(I543,I545)</f>
        <v/>
      </c>
      <c r="J548" s="1270">
        <f>SUM(J543,J545)</f>
        <v/>
      </c>
      <c r="K548" s="1270">
        <f>SUM(K543,K545)</f>
        <v/>
      </c>
      <c r="L548" s="1270">
        <f>SUM(L543,L545)</f>
        <v/>
      </c>
      <c r="M548" s="1270">
        <f>SUM(M543,M545)</f>
        <v/>
      </c>
      <c r="N548" s="1270">
        <f>SUM(N543,N545)</f>
        <v/>
      </c>
      <c r="O548" s="1271">
        <f>SUM(O543,O545)</f>
        <v/>
      </c>
      <c r="P548" s="137" t="n"/>
    </row>
    <row customFormat="1" customHeight="1" hidden="1" ht="14.25" outlineLevel="1" r="549" s="2362" spans="1:57">
      <c r="B549" s="2419" t="n"/>
      <c r="C549" s="2446" t="s">
        <v>221</v>
      </c>
      <c r="D549" s="1279">
        <f>SUM(D544,D546)</f>
        <v/>
      </c>
      <c r="E549" s="140">
        <f>SUM(E544,E546)</f>
        <v/>
      </c>
      <c r="F549" s="140">
        <f>SUM(F544,F546)</f>
        <v/>
      </c>
      <c r="G549" s="140">
        <f>SUM(G544,G546)</f>
        <v/>
      </c>
      <c r="H549" s="140">
        <f>SUM(H544,H546)</f>
        <v/>
      </c>
      <c r="I549" s="140">
        <f>SUM(I544,I546)</f>
        <v/>
      </c>
      <c r="J549" s="140">
        <f>SUM(J544,J546)</f>
        <v/>
      </c>
      <c r="K549" s="140">
        <f>SUM(K544,K546)</f>
        <v/>
      </c>
      <c r="L549" s="140">
        <f>SUM(L544,L546)</f>
        <v/>
      </c>
      <c r="M549" s="140">
        <f>SUM(M544,M546)</f>
        <v/>
      </c>
      <c r="N549" s="140">
        <f>SUM(N544,N546)</f>
        <v/>
      </c>
      <c r="O549" s="1273">
        <f>SUM(O544,O546)</f>
        <v/>
      </c>
      <c r="P549" s="137" t="n"/>
    </row>
    <row customFormat="1" customHeight="1" hidden="1" ht="14.25" outlineLevel="1" r="550" s="2362" spans="1:57">
      <c r="B550" s="1274" t="n"/>
      <c r="C550" s="2447" t="s">
        <v>222</v>
      </c>
      <c r="D550" s="1280">
        <f>SUM(D548:D549)</f>
        <v/>
      </c>
      <c r="E550" s="1276">
        <f>SUM(E548:E549)</f>
        <v/>
      </c>
      <c r="F550" s="1276">
        <f>SUM(F548:F549)</f>
        <v/>
      </c>
      <c r="G550" s="1276">
        <f>SUM(G548:G549)</f>
        <v/>
      </c>
      <c r="H550" s="1276">
        <f>SUM(H548:H549)</f>
        <v/>
      </c>
      <c r="I550" s="1276">
        <f>SUM(I548:I549)</f>
        <v/>
      </c>
      <c r="J550" s="1276">
        <f>SUM(J548:J549)</f>
        <v/>
      </c>
      <c r="K550" s="1276">
        <f>SUM(K548:K549)</f>
        <v/>
      </c>
      <c r="L550" s="1276">
        <f>SUM(L548:L549)</f>
        <v/>
      </c>
      <c r="M550" s="1276">
        <f>SUM(M548:M549)</f>
        <v/>
      </c>
      <c r="N550" s="1276">
        <f>SUM(N548:N549)</f>
        <v/>
      </c>
      <c r="O550" s="1277">
        <f>SUM(O548:O549)</f>
        <v/>
      </c>
      <c r="P550" s="137" t="n"/>
    </row>
    <row customFormat="1" customHeight="1" hidden="1" ht="14.25" outlineLevel="1" r="551" s="2362" spans="1:57">
      <c r="A551" s="2362" t="n"/>
      <c r="B551" s="1324" t="n"/>
      <c r="C551" s="2465" t="n"/>
      <c r="D551" s="1307" t="n"/>
      <c r="E551" s="1307" t="n"/>
      <c r="F551" s="1307" t="n"/>
      <c r="G551" s="1307" t="n"/>
      <c r="H551" s="1307" t="n"/>
      <c r="I551" s="1307" t="n"/>
      <c r="J551" s="1307" t="n"/>
      <c r="K551" s="1307" t="n"/>
      <c r="L551" s="1307" t="n"/>
      <c r="M551" s="1307" t="n"/>
      <c r="N551" s="1307" t="n"/>
      <c r="O551" s="1307" t="n"/>
      <c r="P551" s="89" t="n"/>
      <c r="R551" s="2362" t="n"/>
    </row>
    <row customFormat="1" customHeight="1" hidden="1" ht="14.25" outlineLevel="1" r="552" s="2437" spans="1:57">
      <c r="A552" s="2460" t="n"/>
      <c r="B552" s="301" t="n"/>
      <c r="C552" s="2399" t="n"/>
      <c r="D552" s="2414" t="n"/>
      <c r="E552" s="2414" t="n"/>
      <c r="F552" s="2414" t="n"/>
      <c r="G552" s="2414" t="n"/>
      <c r="H552" s="2414" t="n"/>
      <c r="I552" s="2414" t="n"/>
      <c r="J552" s="2414" t="n"/>
      <c r="K552" s="2414" t="n"/>
      <c r="L552" s="2414" t="n"/>
      <c r="M552" s="2414" t="n"/>
      <c r="N552" s="2414" t="n"/>
      <c r="O552" s="2414" t="n"/>
      <c r="P552" s="191" t="n"/>
      <c r="Q552" s="2362" t="n"/>
      <c r="R552" s="2362" t="n"/>
      <c r="S552" s="2362" t="n"/>
      <c r="T552" s="2362" t="n"/>
      <c r="U552" s="2362" t="n"/>
      <c r="V552" s="2362" t="n"/>
      <c r="W552" s="2362" t="n"/>
      <c r="X552" s="2362" t="n"/>
      <c r="Y552" s="2362" t="n"/>
      <c r="Z552" s="2362" t="n"/>
      <c r="AA552" s="2362" t="n"/>
      <c r="AB552" s="2362" t="n"/>
      <c r="AC552" s="2362" t="n"/>
      <c r="AD552" s="2362" t="n"/>
      <c r="AE552" s="2362" t="n"/>
      <c r="AF552" s="2362" t="n"/>
      <c r="AG552" s="2362" t="n"/>
      <c r="AH552" s="2362" t="n"/>
      <c r="AI552" s="2362" t="n"/>
      <c r="AJ552" s="2362" t="n"/>
      <c r="AK552" s="2362" t="n"/>
      <c r="AL552" s="2362" t="n"/>
      <c r="AM552" s="2362" t="n"/>
      <c r="AN552" s="2362" t="n"/>
      <c r="AO552" s="2362" t="n"/>
      <c r="AP552" s="2362" t="n"/>
      <c r="AQ552" s="2362" t="n"/>
      <c r="AR552" s="2362" t="n"/>
      <c r="AS552" s="2362" t="n"/>
      <c r="AT552" s="2362" t="n"/>
      <c r="AU552" s="2362" t="n"/>
      <c r="AV552" s="2362" t="n"/>
      <c r="AW552" s="2362" t="n"/>
      <c r="AX552" s="2362" t="n"/>
      <c r="AY552" s="2362" t="n"/>
      <c r="AZ552" s="2362" t="n"/>
      <c r="BA552" s="2362" t="n"/>
      <c r="BB552" s="2362" t="n"/>
      <c r="BC552" s="2362" t="n"/>
      <c r="BD552" s="2362" t="n"/>
      <c r="BE552" s="2362" t="n"/>
    </row>
    <row customHeight="1" hidden="1" ht="15.75" outlineLevel="1" r="553" s="1843" spans="1:57">
      <c r="A553" s="2370" t="n"/>
      <c r="B553" s="80" t="n"/>
      <c r="C553" s="2371" t="n"/>
      <c r="D553" s="2372" t="n">
        <v>43191</v>
      </c>
      <c r="E553" s="2372" t="n">
        <v>43221</v>
      </c>
      <c r="F553" s="2372" t="n">
        <v>43252</v>
      </c>
      <c r="G553" s="2372" t="n">
        <v>43282</v>
      </c>
      <c r="H553" s="2372" t="n">
        <v>43313</v>
      </c>
      <c r="I553" s="2372" t="n">
        <v>43344</v>
      </c>
      <c r="J553" s="2372" t="n">
        <v>43374</v>
      </c>
      <c r="K553" s="2372" t="n">
        <v>43405</v>
      </c>
      <c r="L553" s="2372" t="n">
        <v>43435</v>
      </c>
      <c r="M553" s="2372" t="n">
        <v>43466</v>
      </c>
      <c r="N553" s="2372" t="n">
        <v>43497</v>
      </c>
      <c r="O553" s="2372" t="n">
        <v>43525</v>
      </c>
      <c r="P553" s="2373" t="s">
        <v>55</v>
      </c>
      <c r="R553" s="2362" t="n"/>
    </row>
    <row customHeight="1" hidden="1" ht="15.75" outlineLevel="1" r="554" s="1843" spans="1:57">
      <c r="A554" s="2375" t="s">
        <v>115</v>
      </c>
      <c r="B554" s="64" t="n"/>
      <c r="C554" s="2376" t="s">
        <v>187</v>
      </c>
      <c r="D554" s="1296">
        <f>D$652*D$573+D$653*D$574+D$654*D$575+D$655*D$576</f>
        <v/>
      </c>
      <c r="E554" s="1296">
        <f>E$652*E$573+E$653*E$574+E$654*E$575+E$655*E$576</f>
        <v/>
      </c>
      <c r="F554" s="1296">
        <f>F$652*F$573+F$653*F$574+F$654*F$575+F$655*F$576</f>
        <v/>
      </c>
      <c r="G554" s="1296">
        <f>G$652*G$573+G$653*G$574+G$654*G$575+G$655*G$576</f>
        <v/>
      </c>
      <c r="H554" s="1296">
        <f>H$652*H$573+H$653*H$574+H$654*H$575+H$655*H$576</f>
        <v/>
      </c>
      <c r="I554" s="1296">
        <f>I$652*I$573+I$653*I$574+I$654*I$575+I$655*I$576</f>
        <v/>
      </c>
      <c r="J554" s="1296">
        <f>J$652*J$573+J$653*J$574+J$654*J$575+J$655*J$576</f>
        <v/>
      </c>
      <c r="K554" s="1296">
        <f>K$652*K$573+K$653*K$574+K$654*K$575+K$655*K$576</f>
        <v/>
      </c>
      <c r="L554" s="1296">
        <f>L$652*L$573+L$653*L$574+L$654*L$575+L$655*L$576</f>
        <v/>
      </c>
      <c r="M554" s="1296">
        <f>M$652*M$573+M$653*M$574+M$654*M$575+M$655*M$576</f>
        <v/>
      </c>
      <c r="N554" s="1296">
        <f>N$652*N$573+N$653*N$574+N$654*N$575+N$655*N$576</f>
        <v/>
      </c>
      <c r="O554" s="1296">
        <f>O$652*O$573+O$653*O$574+O$654*O$575+O$655*O$576</f>
        <v/>
      </c>
      <c r="P554" s="49">
        <f>SUM(D554:O554)</f>
        <v/>
      </c>
      <c r="R554" s="2362" t="n"/>
    </row>
    <row customHeight="1" hidden="1" ht="14.25" outlineLevel="1" r="555" s="1843" spans="1:57">
      <c r="A555" s="2436" t="n"/>
      <c r="B555" s="66" t="n"/>
      <c r="C555" s="2379" t="s">
        <v>189</v>
      </c>
      <c r="D555" s="1303">
        <f>D486*D$577/D$508</f>
        <v/>
      </c>
      <c r="E555" s="1303">
        <f>E486*E$577/E$508</f>
        <v/>
      </c>
      <c r="F555" s="1303">
        <f>F486*F$577/F$508</f>
        <v/>
      </c>
      <c r="G555" s="1303">
        <f>G486*G$577/G$508</f>
        <v/>
      </c>
      <c r="H555" s="1303">
        <f>H486*H$577/H$508</f>
        <v/>
      </c>
      <c r="I555" s="1303">
        <f>I486*I$577/I$508</f>
        <v/>
      </c>
      <c r="J555" s="1303">
        <f>J486*J$577/J$508</f>
        <v/>
      </c>
      <c r="K555" s="1303">
        <f>K486*K$577/K$508</f>
        <v/>
      </c>
      <c r="L555" s="1303">
        <f>L486*L$577/L$508</f>
        <v/>
      </c>
      <c r="M555" s="1303">
        <f>M486*M$577/M$508</f>
        <v/>
      </c>
      <c r="N555" s="1303">
        <f>N486*N$577/N$508</f>
        <v/>
      </c>
      <c r="O555" s="1303">
        <f>O486*O$577/O$508</f>
        <v/>
      </c>
      <c r="P555" s="46">
        <f>SUM(D555:O555)</f>
        <v/>
      </c>
      <c r="R555" s="2362" t="n"/>
    </row>
    <row customHeight="1" hidden="1" ht="15.75" outlineLevel="1" r="556" s="1843" spans="1:57">
      <c r="A556" s="2403" t="s">
        <v>123</v>
      </c>
      <c r="B556" s="66" t="n"/>
      <c r="C556" s="2379" t="s">
        <v>212</v>
      </c>
      <c r="D556" s="1303">
        <f>D487*D$577/D$508</f>
        <v/>
      </c>
      <c r="E556" s="1303">
        <f>E487*E$577/E$508</f>
        <v/>
      </c>
      <c r="F556" s="1303">
        <f>F487*F$577/F$508</f>
        <v/>
      </c>
      <c r="G556" s="1303">
        <f>G487*G$577/G$508</f>
        <v/>
      </c>
      <c r="H556" s="1303">
        <f>H487*H$577/H$508</f>
        <v/>
      </c>
      <c r="I556" s="1303">
        <f>I487*I$577/I$508</f>
        <v/>
      </c>
      <c r="J556" s="1303">
        <f>J487*J$577/J$508</f>
        <v/>
      </c>
      <c r="K556" s="1303">
        <f>K487*K$577/K$508</f>
        <v/>
      </c>
      <c r="L556" s="1303">
        <f>L487*L$577/L$508</f>
        <v/>
      </c>
      <c r="M556" s="1303">
        <f>M487*M$577/M$508</f>
        <v/>
      </c>
      <c r="N556" s="1303">
        <f>N487*N$577/N$508</f>
        <v/>
      </c>
      <c r="O556" s="1303">
        <f>O487*O$577/O$508</f>
        <v/>
      </c>
      <c r="P556" s="46">
        <f>SUM(D556:O556)</f>
        <v/>
      </c>
      <c r="R556" s="2362" t="n"/>
    </row>
    <row customHeight="1" hidden="1" ht="14.25" outlineLevel="1" r="557" s="1843" spans="1:57">
      <c r="A557" s="2381" t="n"/>
      <c r="B557" s="66" t="n"/>
      <c r="C557" s="2379" t="s">
        <v>191</v>
      </c>
      <c r="D557" s="1303">
        <f>D488*D$577/D$508</f>
        <v/>
      </c>
      <c r="E557" s="1303">
        <f>E488*E$577/E$508</f>
        <v/>
      </c>
      <c r="F557" s="1303">
        <f>F488*F$577/F$508</f>
        <v/>
      </c>
      <c r="G557" s="1303">
        <f>G488*G$577/G$508</f>
        <v/>
      </c>
      <c r="H557" s="1303">
        <f>H488*H$577/H$508</f>
        <v/>
      </c>
      <c r="I557" s="1303">
        <f>I488*I$577/I$508</f>
        <v/>
      </c>
      <c r="J557" s="1303">
        <f>J488*J$577/J$508</f>
        <v/>
      </c>
      <c r="K557" s="1303">
        <f>K488*K$577/K$508</f>
        <v/>
      </c>
      <c r="L557" s="1303">
        <f>L488*L$577/L$508</f>
        <v/>
      </c>
      <c r="M557" s="1303">
        <f>M488*M$577/M$508</f>
        <v/>
      </c>
      <c r="N557" s="1303">
        <f>N488*N$577/N$508</f>
        <v/>
      </c>
      <c r="O557" s="1303">
        <f>O488*O$577/O$508</f>
        <v/>
      </c>
      <c r="P557" s="46">
        <f>SUM(D557:O557)</f>
        <v/>
      </c>
      <c r="R557" s="2362" t="n"/>
    </row>
    <row customHeight="1" hidden="1" ht="14.25" outlineLevel="1" r="558" s="1843" spans="1:57">
      <c r="A558" s="2381" t="n"/>
      <c r="B558" s="66" t="n"/>
      <c r="C558" s="2379" t="s">
        <v>192</v>
      </c>
      <c r="D558" s="1303">
        <f>D489*D$577/D$508</f>
        <v/>
      </c>
      <c r="E558" s="1303">
        <f>E489*E$577/E$508</f>
        <v/>
      </c>
      <c r="F558" s="1303">
        <f>F489*F$577/F$508</f>
        <v/>
      </c>
      <c r="G558" s="1303">
        <f>G489*G$577/G$508</f>
        <v/>
      </c>
      <c r="H558" s="1303">
        <f>H489*H$577/H$508</f>
        <v/>
      </c>
      <c r="I558" s="1303">
        <f>I489*I$577/I$508</f>
        <v/>
      </c>
      <c r="J558" s="1303">
        <f>J489*J$577/J$508</f>
        <v/>
      </c>
      <c r="K558" s="1303">
        <f>K489*K$577/K$508</f>
        <v/>
      </c>
      <c r="L558" s="1303">
        <f>L489*L$577/L$508</f>
        <v/>
      </c>
      <c r="M558" s="1303">
        <f>M489*M$577/M$508</f>
        <v/>
      </c>
      <c r="N558" s="1303">
        <f>N489*N$577/N$508</f>
        <v/>
      </c>
      <c r="O558" s="1303">
        <f>O489*O$577/O$508</f>
        <v/>
      </c>
      <c r="P558" s="46">
        <f>SUM(D558:O558)</f>
        <v/>
      </c>
      <c r="R558" s="2362" t="n"/>
    </row>
    <row customHeight="1" hidden="1" ht="14.25" outlineLevel="1" r="559" s="1843" spans="1:57">
      <c r="A559" s="2381" t="n"/>
      <c r="B559" s="66" t="n"/>
      <c r="C559" s="2379" t="s">
        <v>213</v>
      </c>
      <c r="D559" s="1303">
        <f>D490*D$577/D$508</f>
        <v/>
      </c>
      <c r="E559" s="1303">
        <f>E490*E$577/E$508</f>
        <v/>
      </c>
      <c r="F559" s="1303">
        <f>F490*F$577/F$508</f>
        <v/>
      </c>
      <c r="G559" s="1303">
        <f>G490*G$577/G$508</f>
        <v/>
      </c>
      <c r="H559" s="1303">
        <f>H490*H$577/H$508</f>
        <v/>
      </c>
      <c r="I559" s="1303">
        <f>I490*I$577/I$508</f>
        <v/>
      </c>
      <c r="J559" s="1303">
        <f>J490*J$577/J$508</f>
        <v/>
      </c>
      <c r="K559" s="1303">
        <f>K490*K$577/K$508</f>
        <v/>
      </c>
      <c r="L559" s="1303">
        <f>L490*L$577/L$508</f>
        <v/>
      </c>
      <c r="M559" s="1303">
        <f>M490*M$577/M$508</f>
        <v/>
      </c>
      <c r="N559" s="1303">
        <f>N490*N$577/N$508</f>
        <v/>
      </c>
      <c r="O559" s="1303">
        <f>O490*O$577/O$508</f>
        <v/>
      </c>
      <c r="P559" s="47">
        <f>SUM(D559:O559)</f>
        <v/>
      </c>
      <c r="R559" s="2362" t="n"/>
    </row>
    <row customHeight="1" hidden="1" ht="14.25" outlineLevel="1" r="560" s="1843" spans="1:57">
      <c r="A560" s="2381" t="n"/>
      <c r="B560" s="123" t="n"/>
      <c r="C560" s="2382" t="s">
        <v>195</v>
      </c>
      <c r="D560" s="1303">
        <f>D491*D$577/D$508</f>
        <v/>
      </c>
      <c r="E560" s="1303">
        <f>E491*E$577/E$508</f>
        <v/>
      </c>
      <c r="F560" s="1303">
        <f>F491*F$577/F$508</f>
        <v/>
      </c>
      <c r="G560" s="1303">
        <f>G491*G$577/G$508</f>
        <v/>
      </c>
      <c r="H560" s="1303">
        <f>H491*H$577/H$508</f>
        <v/>
      </c>
      <c r="I560" s="1303">
        <f>I491*I$577/I$508</f>
        <v/>
      </c>
      <c r="J560" s="1303">
        <f>J491*J$577/J$508</f>
        <v/>
      </c>
      <c r="K560" s="1303">
        <f>K491*K$577/K$508</f>
        <v/>
      </c>
      <c r="L560" s="1303">
        <f>L491*L$577/L$508</f>
        <v/>
      </c>
      <c r="M560" s="1303">
        <f>M491*M$577/M$508</f>
        <v/>
      </c>
      <c r="N560" s="1303">
        <f>N491*N$577/N$508</f>
        <v/>
      </c>
      <c r="O560" s="1303">
        <f>O491*O$577/O$508</f>
        <v/>
      </c>
      <c r="P560" s="46">
        <f>SUM(D560:O560)</f>
        <v/>
      </c>
      <c r="R560" s="2362" t="n"/>
    </row>
    <row customHeight="1" hidden="1" ht="14.25" outlineLevel="1" r="561" s="1843" spans="1:57">
      <c r="A561" s="2381" t="n"/>
      <c r="B561" s="70" t="s">
        <v>214</v>
      </c>
      <c r="C561" s="2406" t="n"/>
      <c r="D561" s="1302">
        <f>SUM(D554:D560)</f>
        <v/>
      </c>
      <c r="E561" s="1302">
        <f>SUM(E554:E560)</f>
        <v/>
      </c>
      <c r="F561" s="1302">
        <f>SUM(F554:F560)</f>
        <v/>
      </c>
      <c r="G561" s="1302">
        <f>SUM(G554:G560)</f>
        <v/>
      </c>
      <c r="H561" s="1302">
        <f>SUM(H554:H560)</f>
        <v/>
      </c>
      <c r="I561" s="1302">
        <f>SUM(I554:I560)</f>
        <v/>
      </c>
      <c r="J561" s="1302">
        <f>SUM(J554:J560)</f>
        <v/>
      </c>
      <c r="K561" s="1302">
        <f>SUM(K554:K560)</f>
        <v/>
      </c>
      <c r="L561" s="1302">
        <f>SUM(L554:L560)</f>
        <v/>
      </c>
      <c r="M561" s="1302">
        <f>SUM(M554:M560)</f>
        <v/>
      </c>
      <c r="N561" s="1302">
        <f>SUM(N554:N560)</f>
        <v/>
      </c>
      <c r="O561" s="1302">
        <f>SUM(O554:O560)</f>
        <v/>
      </c>
      <c r="P561" s="76">
        <f>SUM(D561:O561)</f>
        <v/>
      </c>
      <c r="R561" s="2362" t="n"/>
    </row>
    <row customHeight="1" hidden="1" ht="14.25" outlineLevel="1" r="562" s="1843" spans="1:57">
      <c r="A562" s="2407" t="n"/>
      <c r="B562" s="1171" t="n"/>
      <c r="C562" s="2386" t="s">
        <v>161</v>
      </c>
      <c r="D562" s="1301">
        <f>D493*D$577/D$508</f>
        <v/>
      </c>
      <c r="E562" s="1301">
        <f>E493*E$577/E$508</f>
        <v/>
      </c>
      <c r="F562" s="1301">
        <f>F493*F$577/F$508</f>
        <v/>
      </c>
      <c r="G562" s="1301">
        <f>G493*G$577/G$508</f>
        <v/>
      </c>
      <c r="H562" s="1301">
        <f>H493*H$577/H$508</f>
        <v/>
      </c>
      <c r="I562" s="1301">
        <f>I493*I$577/I$508</f>
        <v/>
      </c>
      <c r="J562" s="1301">
        <f>J493*J$577/J$508</f>
        <v/>
      </c>
      <c r="K562" s="1301">
        <f>K493*K$577/K$508</f>
        <v/>
      </c>
      <c r="L562" s="1301">
        <f>L493*L$577/L$508</f>
        <v/>
      </c>
      <c r="M562" s="1301">
        <f>M493*M$577/M$508</f>
        <v/>
      </c>
      <c r="N562" s="1301">
        <f>N493*N$577/N$508</f>
        <v/>
      </c>
      <c r="O562" s="1301">
        <f>O493*O$577/O$508</f>
        <v/>
      </c>
      <c r="P562" s="85">
        <f>SUM(D562:O562)</f>
        <v/>
      </c>
      <c r="Q562" s="2362" t="n"/>
      <c r="R562" s="2362" t="n"/>
      <c r="S562" s="2362" t="n"/>
      <c r="T562" s="2362" t="n"/>
      <c r="U562" s="2362" t="n"/>
      <c r="V562" s="2362" t="n"/>
      <c r="W562" s="2362" t="n"/>
      <c r="X562" s="2362" t="n"/>
      <c r="Y562" s="2362" t="n"/>
      <c r="Z562" s="2362" t="n"/>
      <c r="AA562" s="2362" t="n"/>
      <c r="AB562" s="2362" t="n"/>
      <c r="AC562" s="2362" t="n"/>
      <c r="AD562" s="2362" t="n"/>
      <c r="AE562" s="2362" t="n"/>
    </row>
    <row customFormat="1" customHeight="1" hidden="1" ht="14.25" outlineLevel="1" r="563" s="2362" spans="1:57">
      <c r="A563" s="2407" t="n"/>
      <c r="B563" s="123" t="n"/>
      <c r="C563" s="2459" t="s">
        <v>215</v>
      </c>
      <c r="D563" s="1301">
        <f>D494*D$577/D$508</f>
        <v/>
      </c>
      <c r="E563" s="1301">
        <f>E494*E$577/E$508</f>
        <v/>
      </c>
      <c r="F563" s="1301">
        <f>F494*F$577/F$508</f>
        <v/>
      </c>
      <c r="G563" s="1301">
        <f>G494*G$577/G$508</f>
        <v/>
      </c>
      <c r="H563" s="1301">
        <f>H494*H$577/H$508</f>
        <v/>
      </c>
      <c r="I563" s="1301">
        <f>I494*I$577/I$508</f>
        <v/>
      </c>
      <c r="J563" s="1301">
        <f>J494*J$577/J$508</f>
        <v/>
      </c>
      <c r="K563" s="1301">
        <f>K494*K$577/K$508</f>
        <v/>
      </c>
      <c r="L563" s="1301">
        <f>L494*L$577/L$508</f>
        <v/>
      </c>
      <c r="M563" s="1301">
        <f>M494*M$577/M$508</f>
        <v/>
      </c>
      <c r="N563" s="1301">
        <f>N494*N$577/N$508</f>
        <v/>
      </c>
      <c r="O563" s="1301">
        <f>O494*O$577/O$508</f>
        <v/>
      </c>
      <c r="P563" s="85">
        <f>SUM(D563:O563)</f>
        <v/>
      </c>
      <c r="Q563" s="2362" t="n"/>
      <c r="R563" s="2362" t="n"/>
      <c r="S563" s="2362" t="n"/>
      <c r="T563" s="2362" t="n"/>
      <c r="U563" s="2362" t="n"/>
      <c r="V563" s="2362" t="n"/>
      <c r="W563" s="2362" t="n"/>
      <c r="X563" s="2362" t="n"/>
      <c r="Y563" s="2362" t="n"/>
      <c r="Z563" s="2362" t="n"/>
      <c r="AA563" s="2362" t="n"/>
      <c r="AB563" s="2362" t="n"/>
      <c r="AC563" s="2362" t="n"/>
      <c r="AD563" s="2362" t="n"/>
      <c r="AE563" s="2362" t="n"/>
    </row>
    <row customFormat="1" customHeight="1" hidden="1" ht="14.25" outlineLevel="1" r="564" s="2362" spans="1:57">
      <c r="A564" s="2407" t="n"/>
      <c r="B564" s="123" t="n"/>
      <c r="C564" s="2459" t="s">
        <v>197</v>
      </c>
      <c r="D564" s="1301">
        <f>D495*D$578/D$509</f>
        <v/>
      </c>
      <c r="E564" s="1301">
        <f>E495*E$578/E$509</f>
        <v/>
      </c>
      <c r="F564" s="1301">
        <f>F495*F$578/F$509</f>
        <v/>
      </c>
      <c r="G564" s="1301">
        <f>G495*G$578/G$509</f>
        <v/>
      </c>
      <c r="H564" s="1301">
        <f>H495*H$578/H$509</f>
        <v/>
      </c>
      <c r="I564" s="1301">
        <f>I495*I$578/I$509</f>
        <v/>
      </c>
      <c r="J564" s="1301">
        <f>J495*J$578/J$509</f>
        <v/>
      </c>
      <c r="K564" s="1301">
        <f>K495*K$578/K$509</f>
        <v/>
      </c>
      <c r="L564" s="1301">
        <f>L495*L$578/L$509</f>
        <v/>
      </c>
      <c r="M564" s="1301">
        <f>M495*M$578/M$509</f>
        <v/>
      </c>
      <c r="N564" s="1301">
        <f>N495*N$578/N$509</f>
        <v/>
      </c>
      <c r="O564" s="1301">
        <f>O495*O$578/O$509</f>
        <v/>
      </c>
      <c r="P564" s="85">
        <f>SUM(D564:O564)</f>
        <v/>
      </c>
      <c r="Q564" s="2362" t="n"/>
      <c r="R564" s="2362" t="n"/>
      <c r="S564" s="2362" t="n"/>
      <c r="T564" s="2362" t="n"/>
      <c r="U564" s="2362" t="n"/>
      <c r="V564" s="2362" t="n"/>
      <c r="W564" s="2362" t="n"/>
      <c r="X564" s="2362" t="n"/>
      <c r="Y564" s="2362" t="n"/>
      <c r="Z564" s="2362" t="n"/>
      <c r="AA564" s="2362" t="n"/>
      <c r="AB564" s="2362" t="n"/>
      <c r="AC564" s="2362" t="n"/>
      <c r="AD564" s="2362" t="n"/>
      <c r="AE564" s="2362" t="n"/>
    </row>
    <row customFormat="1" customHeight="1" hidden="1" ht="14.25" outlineLevel="1" r="565" s="2362" spans="1:57">
      <c r="A565" s="2407" t="n"/>
      <c r="B565" s="123" t="n"/>
      <c r="C565" s="2459" t="s">
        <v>198</v>
      </c>
      <c r="D565" s="1301" t="n"/>
      <c r="E565" s="1301" t="n"/>
      <c r="F565" s="1301" t="n"/>
      <c r="G565" s="1301" t="n"/>
      <c r="H565" s="1301" t="n"/>
      <c r="I565" s="1301" t="n"/>
      <c r="J565" s="1301" t="n"/>
      <c r="K565" s="1301" t="n"/>
      <c r="L565" s="1301" t="n"/>
      <c r="M565" s="1301" t="n"/>
      <c r="N565" s="1301" t="n"/>
      <c r="O565" s="1301" t="n"/>
      <c r="P565" s="85">
        <f>SUM(D565:O565)</f>
        <v/>
      </c>
      <c r="Q565" s="2362" t="n"/>
      <c r="R565" s="2362" t="n"/>
      <c r="S565" s="2362" t="n"/>
      <c r="T565" s="2362" t="n"/>
      <c r="U565" s="2362" t="n"/>
      <c r="V565" s="2362" t="n"/>
      <c r="W565" s="2362" t="n"/>
      <c r="X565" s="2362" t="n"/>
      <c r="Y565" s="2362" t="n"/>
      <c r="Z565" s="2362" t="n"/>
      <c r="AA565" s="2362" t="n"/>
      <c r="AB565" s="2362" t="n"/>
      <c r="AC565" s="2362" t="n"/>
      <c r="AD565" s="2362" t="n"/>
      <c r="AE565" s="2362" t="n"/>
    </row>
    <row customFormat="1" customHeight="1" hidden="1" ht="14.25" outlineLevel="1" r="566" s="2362" spans="1:57">
      <c r="A566" s="2407" t="n"/>
      <c r="B566" s="123" t="n"/>
      <c r="C566" s="2459" t="s">
        <v>199</v>
      </c>
      <c r="D566" s="1301">
        <f>D497*D$578/D$509</f>
        <v/>
      </c>
      <c r="E566" s="1301">
        <f>E497*E$578/E$509</f>
        <v/>
      </c>
      <c r="F566" s="1301">
        <f>F497*F$578/F$509</f>
        <v/>
      </c>
      <c r="G566" s="1301">
        <f>G497*G$578/G$509</f>
        <v/>
      </c>
      <c r="H566" s="1301">
        <f>H497*H$578/H$509</f>
        <v/>
      </c>
      <c r="I566" s="1301">
        <f>I497*I$578/I$509</f>
        <v/>
      </c>
      <c r="J566" s="1301">
        <f>J497*J$578/J$509</f>
        <v/>
      </c>
      <c r="K566" s="1301">
        <f>K497*K$578/K$509</f>
        <v/>
      </c>
      <c r="L566" s="1301">
        <f>L497*L$578/L$509</f>
        <v/>
      </c>
      <c r="M566" s="1301">
        <f>M497*M$578/M$509</f>
        <v/>
      </c>
      <c r="N566" s="1301">
        <f>N497*N$578/N$509</f>
        <v/>
      </c>
      <c r="O566" s="1301">
        <f>O497*O$578/O$509</f>
        <v/>
      </c>
      <c r="P566" s="85">
        <f>SUM(D566:O566)</f>
        <v/>
      </c>
      <c r="Q566" s="2362" t="n"/>
      <c r="R566" s="2362" t="n"/>
      <c r="S566" s="2362" t="n"/>
      <c r="T566" s="2362" t="n"/>
      <c r="U566" s="2362" t="n"/>
      <c r="V566" s="2362" t="n"/>
      <c r="W566" s="2362" t="n"/>
      <c r="X566" s="2362" t="n"/>
      <c r="Y566" s="2362" t="n"/>
      <c r="Z566" s="2362" t="n"/>
      <c r="AA566" s="2362" t="n"/>
      <c r="AB566" s="2362" t="n"/>
      <c r="AC566" s="2362" t="n"/>
      <c r="AD566" s="2362" t="n"/>
      <c r="AE566" s="2362" t="n"/>
    </row>
    <row customHeight="1" hidden="1" ht="14.25" outlineLevel="1" r="567" s="1843" spans="1:57">
      <c r="A567" s="2407" t="n"/>
      <c r="B567" s="123" t="n"/>
      <c r="C567" s="2385" t="s">
        <v>200</v>
      </c>
      <c r="D567" s="962" t="n"/>
      <c r="E567" s="962" t="n"/>
      <c r="F567" s="962" t="n"/>
      <c r="G567" s="962" t="n"/>
      <c r="H567" s="962" t="n"/>
      <c r="I567" s="962" t="n"/>
      <c r="J567" s="962" t="n"/>
      <c r="K567" s="962" t="n"/>
      <c r="L567" s="962" t="n"/>
      <c r="M567" s="962" t="n"/>
      <c r="N567" s="962" t="n"/>
      <c r="O567" s="962" t="n"/>
      <c r="P567" s="85">
        <f>SUM(D567:O567)</f>
        <v/>
      </c>
      <c r="Q567" s="2362" t="n"/>
      <c r="R567" s="2362" t="n"/>
      <c r="S567" s="2362" t="n"/>
      <c r="T567" s="2362" t="n"/>
      <c r="U567" s="2362" t="n"/>
      <c r="V567" s="2362" t="n"/>
      <c r="W567" s="2362" t="n"/>
      <c r="X567" s="2362" t="n"/>
      <c r="Y567" s="2362" t="n"/>
      <c r="Z567" s="2362" t="n"/>
      <c r="AA567" s="2362" t="n"/>
      <c r="AB567" s="2362" t="n"/>
      <c r="AC567" s="2362" t="n"/>
      <c r="AD567" s="2362" t="n"/>
      <c r="AE567" s="2362" t="n"/>
    </row>
    <row customFormat="1" customHeight="1" hidden="1" ht="14.25" outlineLevel="1" r="568" s="2437" spans="1:57">
      <c r="A568" s="2407" t="n"/>
      <c r="B568" s="123" t="n"/>
      <c r="C568" s="2385" t="s">
        <v>201</v>
      </c>
      <c r="D568" s="1301">
        <f>D499*D$585/D$516</f>
        <v/>
      </c>
      <c r="E568" s="1301">
        <f>E499*E$585/E$516</f>
        <v/>
      </c>
      <c r="F568" s="1301">
        <f>F499*F$585/F$516</f>
        <v/>
      </c>
      <c r="G568" s="1301">
        <f>G499*G$585/G$516</f>
        <v/>
      </c>
      <c r="H568" s="1301">
        <f>H499*H$585/H$516</f>
        <v/>
      </c>
      <c r="I568" s="1301">
        <f>I499*I$585/I$516</f>
        <v/>
      </c>
      <c r="J568" s="1301">
        <f>J499*J$585/J$516</f>
        <v/>
      </c>
      <c r="K568" s="1301">
        <f>K499*K$585/K$516</f>
        <v/>
      </c>
      <c r="L568" s="1301">
        <f>L499*L$585/L$516</f>
        <v/>
      </c>
      <c r="M568" s="1301">
        <f>M499*M$585/M$516</f>
        <v/>
      </c>
      <c r="N568" s="1301">
        <f>N499*N$585/N$516</f>
        <v/>
      </c>
      <c r="O568" s="1301">
        <f>O499*O$585/O$516</f>
        <v/>
      </c>
      <c r="P568" s="85">
        <f>SUM(D568:O568)</f>
        <v/>
      </c>
      <c r="Q568" s="2362" t="n"/>
      <c r="R568" s="2362" t="n"/>
      <c r="S568" s="2362" t="n"/>
      <c r="T568" s="2362" t="n"/>
      <c r="U568" s="2362" t="n"/>
      <c r="V568" s="2362" t="n"/>
      <c r="W568" s="2362" t="n"/>
      <c r="X568" s="2362" t="n"/>
      <c r="Y568" s="2362" t="n"/>
      <c r="Z568" s="2362" t="n"/>
      <c r="AA568" s="2362" t="n"/>
      <c r="AB568" s="2362" t="n"/>
      <c r="AC568" s="2362" t="n"/>
      <c r="AD568" s="2362" t="n"/>
      <c r="AE568" s="2362" t="n"/>
      <c r="AF568" s="2362" t="n"/>
      <c r="AG568" s="2362" t="n"/>
      <c r="AH568" s="2362" t="n"/>
      <c r="AI568" s="2362" t="n"/>
      <c r="AJ568" s="2362" t="n"/>
      <c r="AK568" s="2362" t="n"/>
      <c r="AL568" s="2362" t="n"/>
      <c r="AM568" s="2362" t="n"/>
      <c r="AN568" s="2362" t="n"/>
      <c r="AO568" s="2362" t="n"/>
      <c r="AP568" s="2362" t="n"/>
      <c r="AQ568" s="2362" t="n"/>
      <c r="AR568" s="2362" t="n"/>
      <c r="AS568" s="2362" t="n"/>
      <c r="AT568" s="2362" t="n"/>
      <c r="AU568" s="2362" t="n"/>
      <c r="AV568" s="2362" t="n"/>
      <c r="AW568" s="2362" t="n"/>
      <c r="AX568" s="2362" t="n"/>
      <c r="AY568" s="2362" t="n"/>
      <c r="AZ568" s="2362" t="n"/>
      <c r="BA568" s="2362" t="n"/>
      <c r="BB568" s="2362" t="n"/>
      <c r="BC568" s="2362" t="n"/>
      <c r="BD568" s="2362" t="n"/>
      <c r="BE568" s="2362" t="n"/>
    </row>
    <row customFormat="1" customHeight="1" hidden="1" ht="36" outlineLevel="1" r="569" s="2369" spans="1:57">
      <c r="A569" s="2408" t="n"/>
      <c r="B569" s="71" t="n"/>
      <c r="C569" s="2384" t="s">
        <v>202</v>
      </c>
      <c r="D569" s="962" t="n"/>
      <c r="E569" s="962" t="n"/>
      <c r="F569" s="962" t="n"/>
      <c r="G569" s="962" t="n"/>
      <c r="H569" s="962" t="n"/>
      <c r="I569" s="962" t="n"/>
      <c r="J569" s="962" t="n"/>
      <c r="K569" s="962" t="n"/>
      <c r="L569" s="962" t="n"/>
      <c r="M569" s="962" t="n"/>
      <c r="N569" s="962" t="n"/>
      <c r="O569" s="962" t="n"/>
      <c r="P569" s="85">
        <f>SUM(D569:O569)</f>
        <v/>
      </c>
      <c r="Q569" s="2422" t="n"/>
      <c r="R569" s="2362" t="n"/>
      <c r="S569" s="2422" t="n"/>
      <c r="T569" s="2422" t="n"/>
      <c r="U569" s="2422" t="n"/>
      <c r="V569" s="2422" t="n"/>
      <c r="W569" s="2422" t="n"/>
      <c r="X569" s="2422" t="n"/>
      <c r="Y569" s="2422" t="n"/>
      <c r="Z569" s="2422" t="n"/>
      <c r="AA569" s="2422" t="n"/>
      <c r="AB569" s="2422" t="n"/>
      <c r="AC569" s="2422" t="n"/>
      <c r="AD569" s="2422" t="n"/>
      <c r="AE569" s="2422" t="n"/>
      <c r="AF569" s="2422" t="n"/>
      <c r="AG569" s="2422" t="n"/>
      <c r="AH569" s="2422" t="n"/>
      <c r="AI569" s="2422" t="n"/>
      <c r="AJ569" s="2422" t="n"/>
      <c r="AK569" s="2422" t="n"/>
      <c r="AL569" s="2422" t="n"/>
      <c r="AM569" s="2422" t="n"/>
      <c r="AN569" s="2422" t="n"/>
      <c r="AO569" s="2422" t="n"/>
      <c r="AP569" s="2422" t="n"/>
      <c r="AQ569" s="2422" t="n"/>
      <c r="AR569" s="2422" t="n"/>
      <c r="AS569" s="2422" t="n"/>
    </row>
    <row customHeight="1" hidden="1" ht="14.25" outlineLevel="1" r="570" s="1843" spans="1:57">
      <c r="A570" s="2407" t="n"/>
      <c r="B570" s="139" t="n"/>
      <c r="C570" s="2439" t="s">
        <v>216</v>
      </c>
      <c r="D570" s="1187">
        <f>D$501*SUM(D$577,D$582)/SUM(D$508,D$513)</f>
        <v/>
      </c>
      <c r="E570" s="1187">
        <f>E$501*SUM(E$577,E$582)/SUM(E$508,E$513)</f>
        <v/>
      </c>
      <c r="F570" s="1187">
        <f>F$501*SUM(F$577,F$582)/SUM(F$508,F$513)</f>
        <v/>
      </c>
      <c r="G570" s="1187">
        <f>G$501*SUM(G$577,G$582)/SUM(G$508,G$513)</f>
        <v/>
      </c>
      <c r="H570" s="1187">
        <f>H$501*SUM(H$577,H$582)/SUM(H$508,H$513)</f>
        <v/>
      </c>
      <c r="I570" s="1187">
        <f>I$501*SUM(I$577,I$582)/SUM(I$508,I$513)</f>
        <v/>
      </c>
      <c r="J570" s="1187">
        <f>J$501*SUM(J$577,J$582)/SUM(J$508,J$513)</f>
        <v/>
      </c>
      <c r="K570" s="1187">
        <f>K$501*SUM(K$577,K$582)/SUM(K$508,K$513)</f>
        <v/>
      </c>
      <c r="L570" s="1187">
        <f>L$501*SUM(L$577,L$582)/SUM(L$508,L$513)</f>
        <v/>
      </c>
      <c r="M570" s="1187">
        <f>M$501*SUM(M$577,M$582)/SUM(M$508,M$513)</f>
        <v/>
      </c>
      <c r="N570" s="1187">
        <f>N$501*SUM(N$577,N$582)/SUM(N$508,N$513)</f>
        <v/>
      </c>
      <c r="O570" s="1187">
        <f>O$501*SUM(O$577,O$582)/SUM(O$508,O$513)</f>
        <v/>
      </c>
      <c r="P570" s="1173">
        <f>SUM(D570:O570)</f>
        <v/>
      </c>
      <c r="Q570" s="2362" t="n"/>
      <c r="R570" s="2362" t="n"/>
      <c r="S570" s="2362" t="n"/>
      <c r="T570" s="2362" t="n"/>
      <c r="U570" s="2362" t="n"/>
      <c r="V570" s="2362" t="n"/>
      <c r="W570" s="2362" t="n"/>
      <c r="X570" s="2362" t="n"/>
      <c r="Y570" s="2362" t="n"/>
      <c r="Z570" s="2362" t="n"/>
      <c r="AA570" s="2362" t="n"/>
      <c r="AB570" s="2362" t="n"/>
      <c r="AC570" s="2362" t="n"/>
      <c r="AD570" s="2362" t="n"/>
      <c r="AE570" s="2362" t="n"/>
      <c r="AF570" s="2362" t="n"/>
      <c r="AG570" s="2362" t="n"/>
      <c r="AH570" s="2362" t="n"/>
      <c r="AI570" s="2362" t="n"/>
      <c r="AJ570" s="2362" t="n"/>
      <c r="AK570" s="2362" t="n"/>
      <c r="AL570" s="2362" t="n"/>
      <c r="AM570" s="2362" t="n"/>
      <c r="AN570" s="2362" t="n"/>
      <c r="AO570" s="2362" t="n"/>
      <c r="AP570" s="2362" t="n"/>
      <c r="AQ570" s="2362" t="n"/>
      <c r="AR570" s="2362" t="n"/>
      <c r="AS570" s="2362" t="n"/>
    </row>
    <row customHeight="1" hidden="1" ht="15" outlineLevel="1" r="571" s="1843" spans="1:57" thickBot="1">
      <c r="A571" s="2408" t="n"/>
      <c r="B571" s="70" t="s">
        <v>217</v>
      </c>
      <c r="C571" s="2406" t="n"/>
      <c r="D571" s="73">
        <f>SUM(D562:D570)</f>
        <v/>
      </c>
      <c r="E571" s="73">
        <f>SUM(E562:E570)</f>
        <v/>
      </c>
      <c r="F571" s="73">
        <f>SUM(F562:F570)</f>
        <v/>
      </c>
      <c r="G571" s="73">
        <f>SUM(G562:G570)</f>
        <v/>
      </c>
      <c r="H571" s="73">
        <f>SUM(H562:H570)</f>
        <v/>
      </c>
      <c r="I571" s="73">
        <f>SUM(I562:I570)</f>
        <v/>
      </c>
      <c r="J571" s="73">
        <f>SUM(J562:J570)</f>
        <v/>
      </c>
      <c r="K571" s="73">
        <f>SUM(K562:K570)</f>
        <v/>
      </c>
      <c r="L571" s="73">
        <f>SUM(L562:L570)</f>
        <v/>
      </c>
      <c r="M571" s="73">
        <f>SUM(M562:M570)</f>
        <v/>
      </c>
      <c r="N571" s="73">
        <f>SUM(N562:N570)</f>
        <v/>
      </c>
      <c r="O571" s="73">
        <f>SUM(O562:O570)</f>
        <v/>
      </c>
      <c r="P571" s="76">
        <f>SUM(D571:O571)</f>
        <v/>
      </c>
      <c r="R571" s="2422" t="n"/>
    </row>
    <row customFormat="1" customHeight="1" hidden="1" ht="15" outlineLevel="1" r="572" s="2362" spans="1:57" thickBot="1">
      <c r="A572" s="2362" t="n"/>
      <c r="B572" s="1324" t="n"/>
      <c r="C572" s="2449" t="s">
        <v>218</v>
      </c>
      <c r="D572" s="1323">
        <f>SUM(D561,D571)</f>
        <v/>
      </c>
      <c r="E572" s="1323">
        <f>SUM(E561,E571)</f>
        <v/>
      </c>
      <c r="F572" s="1323">
        <f>SUM(F561,F571)</f>
        <v/>
      </c>
      <c r="G572" s="1323">
        <f>SUM(G561,G571)</f>
        <v/>
      </c>
      <c r="H572" s="1323">
        <f>SUM(H561,H571)</f>
        <v/>
      </c>
      <c r="I572" s="1323">
        <f>SUM(I561,I571)</f>
        <v/>
      </c>
      <c r="J572" s="1323">
        <f>SUM(J561,J571)</f>
        <v/>
      </c>
      <c r="K572" s="1323">
        <f>SUM(K561,K571)</f>
        <v/>
      </c>
      <c r="L572" s="1323">
        <f>SUM(L561,L571)</f>
        <v/>
      </c>
      <c r="M572" s="1323">
        <f>SUM(M561,M571)</f>
        <v/>
      </c>
      <c r="N572" s="1323">
        <f>SUM(N561,N571)</f>
        <v/>
      </c>
      <c r="O572" s="1323">
        <f>SUM(O561,O571)</f>
        <v/>
      </c>
      <c r="P572" s="89">
        <f>SUM(P561,P571)</f>
        <v/>
      </c>
      <c r="R572" s="2362" t="n"/>
    </row>
    <row customFormat="1" customHeight="1" hidden="1" ht="14.25" outlineLevel="1" r="573" s="2362" spans="1:57">
      <c r="A573" s="2392" t="s">
        <v>203</v>
      </c>
      <c r="B573" s="2395" t="n"/>
      <c r="C573" s="2413" t="s">
        <v>204</v>
      </c>
      <c r="D573" s="2424" t="n">
        <v>0.5</v>
      </c>
      <c r="E573" s="2424" t="n">
        <v>0.5</v>
      </c>
      <c r="F573" s="2424" t="n">
        <v>0.5</v>
      </c>
      <c r="G573" s="2424" t="n">
        <v>0.5</v>
      </c>
      <c r="H573" s="2424" t="n">
        <v>0.5</v>
      </c>
      <c r="I573" s="2424" t="n">
        <v>0.5</v>
      </c>
      <c r="J573" s="2424" t="n">
        <v>0.5</v>
      </c>
      <c r="K573" s="2424" t="n">
        <v>0.5</v>
      </c>
      <c r="L573" s="2424" t="n">
        <v>0.5</v>
      </c>
      <c r="M573" s="2424" t="n">
        <v>0.5</v>
      </c>
      <c r="N573" s="2424" t="n">
        <v>0.5</v>
      </c>
      <c r="O573" s="2424" t="n">
        <v>0.5</v>
      </c>
      <c r="P573" s="137" t="n"/>
      <c r="R573" s="2362" t="n"/>
    </row>
    <row customFormat="1" customHeight="1" hidden="1" ht="14.25" outlineLevel="1" r="574" s="2362" spans="1:57">
      <c r="B574" s="2395" t="n"/>
      <c r="C574" s="2399" t="s">
        <v>14</v>
      </c>
      <c r="D574" s="1395" t="n">
        <v>0</v>
      </c>
      <c r="E574" s="1395" t="n">
        <v>0</v>
      </c>
      <c r="F574" s="1395" t="n">
        <v>0</v>
      </c>
      <c r="G574" s="1395" t="n">
        <v>0</v>
      </c>
      <c r="H574" s="1395" t="n">
        <v>0</v>
      </c>
      <c r="I574" s="1395" t="n">
        <v>0</v>
      </c>
      <c r="J574" s="1395" t="n">
        <v>0</v>
      </c>
      <c r="K574" s="1395" t="n">
        <v>0</v>
      </c>
      <c r="L574" s="1395" t="n">
        <v>0</v>
      </c>
      <c r="M574" s="1395" t="n">
        <v>0</v>
      </c>
      <c r="N574" s="1395" t="n">
        <v>0</v>
      </c>
      <c r="O574" s="1395" t="n">
        <v>0</v>
      </c>
      <c r="P574" s="137" t="n"/>
      <c r="R574" s="2362" t="n"/>
    </row>
    <row customFormat="1" customHeight="1" hidden="1" ht="14.25" outlineLevel="1" r="575" s="2362" spans="1:57">
      <c r="B575" s="2395" t="n"/>
      <c r="C575" s="2399" t="s">
        <v>15</v>
      </c>
      <c r="D575" s="1395" t="n">
        <v>0</v>
      </c>
      <c r="E575" s="1395" t="n">
        <v>0</v>
      </c>
      <c r="F575" s="1395" t="n">
        <v>0</v>
      </c>
      <c r="G575" s="1395" t="n">
        <v>0</v>
      </c>
      <c r="H575" s="1395" t="n">
        <v>0</v>
      </c>
      <c r="I575" s="1395" t="n">
        <v>0</v>
      </c>
      <c r="J575" s="1395" t="n">
        <v>0</v>
      </c>
      <c r="K575" s="1395" t="n">
        <v>0</v>
      </c>
      <c r="L575" s="1395" t="n">
        <v>0</v>
      </c>
      <c r="M575" s="1395" t="n">
        <v>0</v>
      </c>
      <c r="N575" s="1395" t="n">
        <v>0</v>
      </c>
      <c r="O575" s="1395" t="n">
        <v>0</v>
      </c>
      <c r="P575" s="137" t="n"/>
      <c r="R575" s="2362" t="n"/>
    </row>
    <row customFormat="1" customHeight="1" hidden="1" ht="14.25" outlineLevel="1" r="576" s="2362" spans="1:57">
      <c r="B576" s="2395" t="n"/>
      <c r="C576" s="2399" t="s">
        <v>16</v>
      </c>
      <c r="D576" s="1395" t="n">
        <v>0</v>
      </c>
      <c r="E576" s="1395" t="n">
        <v>0</v>
      </c>
      <c r="F576" s="1395" t="n">
        <v>0</v>
      </c>
      <c r="G576" s="1395" t="n">
        <v>0</v>
      </c>
      <c r="H576" s="1395" t="n">
        <v>0</v>
      </c>
      <c r="I576" s="1395" t="n">
        <v>0</v>
      </c>
      <c r="J576" s="1395" t="n">
        <v>0</v>
      </c>
      <c r="K576" s="1395" t="n">
        <v>0</v>
      </c>
      <c r="L576" s="1395" t="n">
        <v>0</v>
      </c>
      <c r="M576" s="1395" t="n">
        <v>0</v>
      </c>
      <c r="N576" s="1395" t="n">
        <v>0</v>
      </c>
      <c r="O576" s="1395" t="n">
        <v>0</v>
      </c>
      <c r="P576" s="137" t="n"/>
    </row>
    <row customFormat="1" customHeight="1" hidden="1" ht="14.25" outlineLevel="1" r="577" s="2362" spans="1:57">
      <c r="B577" s="2395" t="n"/>
      <c r="C577" s="2396" t="s">
        <v>80</v>
      </c>
      <c r="D577" s="2414">
        <f>SUM(D573:D576)</f>
        <v/>
      </c>
      <c r="E577" s="2414">
        <f>SUM(E573:E576)</f>
        <v/>
      </c>
      <c r="F577" s="2414">
        <f>SUM(F573:F576)</f>
        <v/>
      </c>
      <c r="G577" s="2414">
        <f>SUM(G573:G576)</f>
        <v/>
      </c>
      <c r="H577" s="2414">
        <f>SUM(H573:H576)</f>
        <v/>
      </c>
      <c r="I577" s="2414">
        <f>SUM(I573:I576)</f>
        <v/>
      </c>
      <c r="J577" s="2414">
        <f>SUM(J573:J576)</f>
        <v/>
      </c>
      <c r="K577" s="2414">
        <f>SUM(K573:K576)</f>
        <v/>
      </c>
      <c r="L577" s="2414">
        <f>SUM(L573:L576)</f>
        <v/>
      </c>
      <c r="M577" s="2414">
        <f>SUM(M573:M576)</f>
        <v/>
      </c>
      <c r="N577" s="2414">
        <f>SUM(N573:N576)</f>
        <v/>
      </c>
      <c r="O577" s="2463">
        <f>SUM(O573:O576)</f>
        <v/>
      </c>
      <c r="P577" s="137" t="n"/>
    </row>
    <row customFormat="1" customHeight="1" hidden="1" ht="14.25" outlineLevel="1" r="578" s="2362" spans="1:57">
      <c r="B578" s="2395" t="n"/>
      <c r="C578" s="2396" t="s">
        <v>206</v>
      </c>
      <c r="D578" s="2464" t="n">
        <v>0.5</v>
      </c>
      <c r="E578" s="2464" t="n">
        <v>0.5</v>
      </c>
      <c r="F578" s="2464" t="n">
        <v>0.5</v>
      </c>
      <c r="G578" s="2464" t="n">
        <v>0.5</v>
      </c>
      <c r="H578" s="2464" t="n">
        <v>0.5</v>
      </c>
      <c r="I578" s="2464" t="n">
        <v>0.5</v>
      </c>
      <c r="J578" s="2464" t="n">
        <v>0.5</v>
      </c>
      <c r="K578" s="2464" t="n">
        <v>0.5</v>
      </c>
      <c r="L578" s="2464" t="n">
        <v>0.5</v>
      </c>
      <c r="M578" s="2464" t="n">
        <v>0.5</v>
      </c>
      <c r="N578" s="2464" t="n">
        <v>0.5</v>
      </c>
      <c r="O578" s="2464" t="n">
        <v>0.5</v>
      </c>
      <c r="P578" s="1240" t="n"/>
    </row>
    <row customFormat="1" customHeight="1" hidden="1" ht="14.25" outlineLevel="1" r="579" s="2362" spans="1:57">
      <c r="B579" s="2395" t="n"/>
      <c r="C579" s="2397" t="s">
        <v>207</v>
      </c>
      <c r="D579" s="1251">
        <f>D577-D578</f>
        <v/>
      </c>
      <c r="E579" s="1251">
        <f>E577-E578</f>
        <v/>
      </c>
      <c r="F579" s="1251">
        <f>F577-F578</f>
        <v/>
      </c>
      <c r="G579" s="1251">
        <f>G577-G578</f>
        <v/>
      </c>
      <c r="H579" s="1251">
        <f>H577-H578</f>
        <v/>
      </c>
      <c r="I579" s="1251">
        <f>I577-I578</f>
        <v/>
      </c>
      <c r="J579" s="1251">
        <f>J577-J578</f>
        <v/>
      </c>
      <c r="K579" s="1251">
        <f>K577-K578</f>
        <v/>
      </c>
      <c r="L579" s="1251">
        <f>L577-L578</f>
        <v/>
      </c>
      <c r="M579" s="1251">
        <f>M577-M578</f>
        <v/>
      </c>
      <c r="N579" s="1251">
        <f>N577-N578</f>
        <v/>
      </c>
      <c r="O579" s="1251">
        <f>O577-O578</f>
        <v/>
      </c>
      <c r="P579" s="1216" t="n"/>
    </row>
    <row customFormat="1" customHeight="1" hidden="1" ht="14.25" outlineLevel="1" r="580" s="2362" spans="1:57">
      <c r="A580" s="2434" t="s">
        <v>157</v>
      </c>
      <c r="B580" s="2395" t="n"/>
      <c r="C580" s="2441" t="s">
        <v>208</v>
      </c>
      <c r="D580" s="2425">
        <f>SUMPRODUCT(('FY18 SET'!$B$4:$B67=$A$556)*('FY18 SET'!$F$4:$F67="实际OS")*('FY18 SET'!G$4:G$67))</f>
        <v/>
      </c>
      <c r="E580" s="2425">
        <f>SUMPRODUCT(('FY18 SET'!$B$4:$B67=$A$556)*('FY18 SET'!$F$4:$F67="实际OS")*('FY18 SET'!H$4:H$67))</f>
        <v/>
      </c>
      <c r="F580" s="2425">
        <f>SUMPRODUCT(('FY18 SET'!$B$4:$B67=$A$556)*('FY18 SET'!$F$4:$F67="实际OS")*('FY18 SET'!I$4:I$67))</f>
        <v/>
      </c>
      <c r="G580" s="2425">
        <f>SUMPRODUCT(('FY18 SET'!$B$4:$B67=$A$556)*('FY18 SET'!$F$4:$F67="实际OS")*('FY18 SET'!J$4:J$67))</f>
        <v/>
      </c>
      <c r="H580" s="2425">
        <f>SUMPRODUCT(('FY18 SET'!$B$4:$B67=$A$556)*('FY18 SET'!$F$4:$F67="实际OS")*('FY18 SET'!K$4:K$67))</f>
        <v/>
      </c>
      <c r="I580" s="2425">
        <f>SUMPRODUCT(('FY18 SET'!$B$4:$B67=$A$556)*('FY18 SET'!$F$4:$F67="实际OS")*('FY18 SET'!L$4:L$67))</f>
        <v/>
      </c>
      <c r="J580" s="2425">
        <f>SUMPRODUCT(('FY18 SET'!$B$4:$B67=$A$556)*('FY18 SET'!$F$4:$F67="实际OS")*('FY18 SET'!N$4:N$67))</f>
        <v/>
      </c>
      <c r="K580" s="2425">
        <f>SUMPRODUCT(('FY18 SET'!$B$4:$B67=$A$556)*('FY18 SET'!$F$4:$F67="实际OS")*('FY18 SET'!O$4:O$67))</f>
        <v/>
      </c>
      <c r="L580" s="2425">
        <f>SUMPRODUCT(('FY18 SET'!$B$4:$B67=$A$556)*('FY18 SET'!$F$4:$F67="实际OS")*('FY18 SET'!P$4:P$67))</f>
        <v/>
      </c>
      <c r="M580" s="2425">
        <f>SUMPRODUCT(('FY18 SET'!$B$4:$B67=$A$556)*('FY18 SET'!$F$4:$F67="实际OS")*('FY18 SET'!Q$4:Q$67))</f>
        <v/>
      </c>
      <c r="N580" s="2425">
        <f>SUMPRODUCT(('FY18 SET'!$B$4:$B67=$A$556)*('FY18 SET'!$F$4:$F67="实际OS")*('FY18 SET'!R$4:R$67))</f>
        <v/>
      </c>
      <c r="O580" s="2425">
        <f>SUMPRODUCT(('FY18 SET'!$B$4:$B67=$A$556)*('FY18 SET'!$F$4:$F67="实际OS")*('FY18 SET'!S$4:S$67))</f>
        <v/>
      </c>
      <c r="P580" s="1216" t="n"/>
      <c r="R580" s="2362" t="n"/>
    </row>
    <row customFormat="1" customHeight="1" hidden="1" ht="14.25" outlineLevel="1" r="581" s="2362" spans="1:57">
      <c r="B581" s="2395" t="n"/>
      <c r="C581" s="2442" t="s">
        <v>209</v>
      </c>
      <c r="D581" s="1232" t="n"/>
      <c r="E581" s="1232" t="n"/>
      <c r="F581" s="1232" t="n"/>
      <c r="G581" s="1232" t="n"/>
      <c r="H581" s="1232" t="n"/>
      <c r="I581" s="1232" t="n"/>
      <c r="J581" s="1232" t="n"/>
      <c r="K581" s="1232" t="n"/>
      <c r="L581" s="1232" t="n"/>
      <c r="M581" s="1232" t="n"/>
      <c r="N581" s="1232" t="n"/>
      <c r="O581" s="1232" t="n"/>
      <c r="P581" s="1216" t="n"/>
      <c r="R581" s="2362" t="n"/>
    </row>
    <row customFormat="1" customHeight="1" hidden="1" ht="14.25" outlineLevel="1" r="582" s="2362" spans="1:57">
      <c r="B582" s="2395" t="n"/>
      <c r="C582" s="2443" t="s">
        <v>211</v>
      </c>
      <c r="D582" s="1233">
        <f>SUM(D580:D581)</f>
        <v/>
      </c>
      <c r="E582" s="1233">
        <f>SUM(E580:E581)</f>
        <v/>
      </c>
      <c r="F582" s="1233">
        <f>SUM(F580:F581)</f>
        <v/>
      </c>
      <c r="G582" s="1233">
        <f>SUM(G580:G581)</f>
        <v/>
      </c>
      <c r="H582" s="1233">
        <f>SUM(H580:H581)</f>
        <v/>
      </c>
      <c r="I582" s="1233">
        <f>SUM(I580:I581)</f>
        <v/>
      </c>
      <c r="J582" s="1233">
        <f>SUM(J580:J581)</f>
        <v/>
      </c>
      <c r="K582" s="1233">
        <f>SUM(K580:K581)</f>
        <v/>
      </c>
      <c r="L582" s="1233">
        <f>SUM(L580:L581)</f>
        <v/>
      </c>
      <c r="M582" s="1233">
        <f>SUM(M580:M581)</f>
        <v/>
      </c>
      <c r="N582" s="1233">
        <f>SUM(N580:N581)</f>
        <v/>
      </c>
      <c r="O582" s="1250">
        <f>SUM(O580:O581)</f>
        <v/>
      </c>
      <c r="P582" s="1216" t="n"/>
    </row>
    <row customFormat="1" customHeight="1" hidden="1" ht="14.25" outlineLevel="1" r="583" s="2362" spans="1:57">
      <c r="A583" s="2416" t="s">
        <v>219</v>
      </c>
      <c r="B583" s="2417" t="n"/>
      <c r="C583" s="2444" t="s">
        <v>220</v>
      </c>
      <c r="D583" s="1278">
        <f>SUM(D578,D580)</f>
        <v/>
      </c>
      <c r="E583" s="1270">
        <f>SUM(E578,E580)</f>
        <v/>
      </c>
      <c r="F583" s="1270">
        <f>SUM(F578,F580)</f>
        <v/>
      </c>
      <c r="G583" s="1270">
        <f>SUM(G578,G580)</f>
        <v/>
      </c>
      <c r="H583" s="1270">
        <f>SUM(H578,H580)</f>
        <v/>
      </c>
      <c r="I583" s="1270">
        <f>SUM(I578,I580)</f>
        <v/>
      </c>
      <c r="J583" s="1270">
        <f>SUM(J578,J580)</f>
        <v/>
      </c>
      <c r="K583" s="1270">
        <f>SUM(K578,K580)</f>
        <v/>
      </c>
      <c r="L583" s="1270">
        <f>SUM(L578,L580)</f>
        <v/>
      </c>
      <c r="M583" s="1270">
        <f>SUM(M578,M580)</f>
        <v/>
      </c>
      <c r="N583" s="1270">
        <f>SUM(N578,N580)</f>
        <v/>
      </c>
      <c r="O583" s="1271">
        <f>SUM(O578,O580)</f>
        <v/>
      </c>
      <c r="P583" s="137" t="n"/>
    </row>
    <row customFormat="1" customHeight="1" hidden="1" ht="14.25" outlineLevel="1" r="584" s="2362" spans="1:57">
      <c r="B584" s="2419" t="n"/>
      <c r="C584" s="2446" t="s">
        <v>221</v>
      </c>
      <c r="D584" s="1279">
        <f>SUM(D579,D581)</f>
        <v/>
      </c>
      <c r="E584" s="140">
        <f>SUM(E579,E581)</f>
        <v/>
      </c>
      <c r="F584" s="140">
        <f>SUM(F579,F581)</f>
        <v/>
      </c>
      <c r="G584" s="140">
        <f>SUM(G579,G581)</f>
        <v/>
      </c>
      <c r="H584" s="140">
        <f>SUM(H579,H581)</f>
        <v/>
      </c>
      <c r="I584" s="140">
        <f>SUM(I579,I581)</f>
        <v/>
      </c>
      <c r="J584" s="140">
        <f>SUM(J579,J581)</f>
        <v/>
      </c>
      <c r="K584" s="140">
        <f>SUM(K579,K581)</f>
        <v/>
      </c>
      <c r="L584" s="140">
        <f>SUM(L579,L581)</f>
        <v/>
      </c>
      <c r="M584" s="140">
        <f>SUM(M579,M581)</f>
        <v/>
      </c>
      <c r="N584" s="140">
        <f>SUM(N579,N581)</f>
        <v/>
      </c>
      <c r="O584" s="1273">
        <f>SUM(O579,O581)</f>
        <v/>
      </c>
      <c r="P584" s="137" t="n"/>
    </row>
    <row customFormat="1" customHeight="1" hidden="1" ht="14.25" outlineLevel="1" r="585" s="2362" spans="1:57">
      <c r="B585" s="1274" t="n"/>
      <c r="C585" s="2447" t="s">
        <v>222</v>
      </c>
      <c r="D585" s="1280">
        <f>SUM(D583:D584)</f>
        <v/>
      </c>
      <c r="E585" s="1276">
        <f>SUM(E583:E584)</f>
        <v/>
      </c>
      <c r="F585" s="1276">
        <f>SUM(F583:F584)</f>
        <v/>
      </c>
      <c r="G585" s="1276">
        <f>SUM(G583:G584)</f>
        <v/>
      </c>
      <c r="H585" s="1276">
        <f>SUM(H583:H584)</f>
        <v/>
      </c>
      <c r="I585" s="1276">
        <f>SUM(I583:I584)</f>
        <v/>
      </c>
      <c r="J585" s="1276">
        <f>SUM(J583:J584)</f>
        <v/>
      </c>
      <c r="K585" s="1276">
        <f>SUM(K583:K584)</f>
        <v/>
      </c>
      <c r="L585" s="1276">
        <f>SUM(L583:L584)</f>
        <v/>
      </c>
      <c r="M585" s="1276">
        <f>SUM(M583:M584)</f>
        <v/>
      </c>
      <c r="N585" s="1276">
        <f>SUM(N583:N584)</f>
        <v/>
      </c>
      <c r="O585" s="1277">
        <f>SUM(O583:O584)</f>
        <v/>
      </c>
      <c r="P585" s="137" t="n"/>
    </row>
    <row collapsed="1" customFormat="1" customHeight="1" ht="14.25" r="586" s="2437" spans="1:57">
      <c r="A586" s="2466" t="n"/>
      <c r="B586" s="301" t="n"/>
      <c r="C586" s="2420" t="n"/>
      <c r="D586" s="140" t="n"/>
      <c r="E586" s="140" t="n"/>
      <c r="F586" s="140" t="n"/>
      <c r="G586" s="192" t="n"/>
      <c r="H586" s="192" t="n"/>
      <c r="I586" s="192" t="n"/>
      <c r="J586" s="192" t="n"/>
      <c r="K586" s="192" t="n"/>
      <c r="L586" s="192" t="n"/>
      <c r="M586" s="192" t="n"/>
      <c r="N586" s="192" t="n"/>
      <c r="O586" s="192" t="n"/>
      <c r="P586" s="191" t="n"/>
      <c r="Q586" s="2362" t="n"/>
      <c r="R586" s="2362" t="n"/>
      <c r="S586" s="2362" t="n"/>
      <c r="T586" s="2362" t="n"/>
      <c r="U586" s="2362" t="n"/>
      <c r="V586" s="2362" t="n"/>
      <c r="W586" s="2362" t="n"/>
      <c r="X586" s="2362" t="n"/>
      <c r="Y586" s="2362" t="n"/>
      <c r="Z586" s="2362" t="n"/>
      <c r="AA586" s="2362" t="n"/>
      <c r="AB586" s="2362" t="n"/>
      <c r="AC586" s="2362" t="n"/>
      <c r="AD586" s="2362" t="n"/>
      <c r="AE586" s="2362" t="n"/>
      <c r="AF586" s="2362" t="n"/>
      <c r="AG586" s="2362" t="n"/>
      <c r="AH586" s="2362" t="n"/>
      <c r="AI586" s="2362" t="n"/>
      <c r="AJ586" s="2362" t="n"/>
      <c r="AK586" s="2362" t="n"/>
      <c r="AL586" s="2362" t="n"/>
      <c r="AM586" s="2362" t="n"/>
      <c r="AN586" s="2362" t="n"/>
      <c r="AO586" s="2362" t="n"/>
      <c r="AP586" s="2362" t="n"/>
      <c r="AQ586" s="2362" t="n"/>
      <c r="AR586" s="2362" t="n"/>
      <c r="AS586" s="2362" t="n"/>
      <c r="AT586" s="2362" t="n"/>
      <c r="AU586" s="2362" t="n"/>
      <c r="AV586" s="2362" t="n"/>
      <c r="AW586" s="2362" t="n"/>
      <c r="AX586" s="2362" t="n"/>
      <c r="AY586" s="2362" t="n"/>
      <c r="AZ586" s="2362" t="n"/>
      <c r="BA586" s="2362" t="n"/>
      <c r="BB586" s="2362" t="n"/>
      <c r="BC586" s="2362" t="n"/>
      <c r="BD586" s="2362" t="n"/>
      <c r="BE586" s="2362" t="n"/>
    </row>
    <row customFormat="1" customHeight="1" ht="15.75" r="587" s="2437" spans="1:57">
      <c r="A587" s="2370" t="n"/>
      <c r="B587" s="80" t="n"/>
      <c r="C587" s="2371" t="n"/>
      <c r="D587" s="2372" t="n">
        <v>43191</v>
      </c>
      <c r="E587" s="2372" t="n">
        <v>43221</v>
      </c>
      <c r="F587" s="2372" t="n">
        <v>43252</v>
      </c>
      <c r="G587" s="2372" t="n">
        <v>43282</v>
      </c>
      <c r="H587" s="2372" t="n">
        <v>43313</v>
      </c>
      <c r="I587" s="2372" t="n">
        <v>43344</v>
      </c>
      <c r="J587" s="2372" t="n">
        <v>43374</v>
      </c>
      <c r="K587" s="2372" t="n">
        <v>43405</v>
      </c>
      <c r="L587" s="2372" t="n">
        <v>43435</v>
      </c>
      <c r="M587" s="2372" t="n">
        <v>43466</v>
      </c>
      <c r="N587" s="2372" t="n">
        <v>43497</v>
      </c>
      <c r="O587" s="2372" t="n">
        <v>43525</v>
      </c>
      <c r="P587" s="2373" t="s">
        <v>55</v>
      </c>
      <c r="Q587" s="2362" t="n"/>
      <c r="R587" s="2374" t="s">
        <v>185</v>
      </c>
      <c r="S587" s="2362" t="n"/>
      <c r="T587" s="2362" t="n"/>
      <c r="U587" s="2362" t="n"/>
      <c r="V587" s="2362" t="n"/>
      <c r="W587" s="2362" t="n"/>
      <c r="X587" s="2362" t="n"/>
      <c r="Y587" s="2362" t="n"/>
      <c r="Z587" s="2362" t="n"/>
      <c r="AA587" s="2362" t="n"/>
      <c r="AB587" s="2362" t="n"/>
      <c r="AC587" s="2362" t="n"/>
      <c r="AD587" s="2362" t="n"/>
      <c r="AE587" s="2362" t="n"/>
      <c r="AF587" s="2362" t="n"/>
      <c r="AG587" s="2362" t="n"/>
      <c r="AH587" s="2362" t="n"/>
      <c r="AI587" s="2362" t="n"/>
      <c r="AJ587" s="2362" t="n"/>
      <c r="AK587" s="2362" t="n"/>
      <c r="AL587" s="2362" t="n"/>
      <c r="AM587" s="2362" t="n"/>
      <c r="AN587" s="2362" t="n"/>
      <c r="AO587" s="2362" t="n"/>
      <c r="AP587" s="2362" t="n"/>
      <c r="AQ587" s="2362" t="n"/>
      <c r="AR587" s="2362" t="n"/>
      <c r="AS587" s="2362" t="n"/>
      <c r="AT587" s="2362" t="n"/>
      <c r="AU587" s="2362" t="n"/>
      <c r="AV587" s="2362" t="n"/>
      <c r="AW587" s="2362" t="n"/>
      <c r="AX587" s="2362" t="n"/>
      <c r="AY587" s="2362" t="n"/>
      <c r="AZ587" s="2362" t="n"/>
      <c r="BA587" s="2362" t="n"/>
      <c r="BB587" s="2362" t="n"/>
      <c r="BC587" s="2362" t="n"/>
      <c r="BD587" s="2362" t="n"/>
      <c r="BE587" s="2362" t="n"/>
    </row>
    <row customFormat="1" customHeight="1" ht="15.75" r="588" s="2437" spans="1:57">
      <c r="A588" s="2403" t="n">
        <v>12278</v>
      </c>
      <c r="B588" s="64" t="n"/>
      <c r="C588" s="2376" t="s">
        <v>187</v>
      </c>
      <c r="D588" s="1381">
        <f>CFG!E250</f>
        <v/>
      </c>
      <c r="E588" s="1381">
        <f>CFG!F250</f>
        <v/>
      </c>
      <c r="F588" s="1381">
        <f>CFG!G250</f>
        <v/>
      </c>
      <c r="G588" s="1381">
        <f>CFG!H250</f>
        <v/>
      </c>
      <c r="H588" s="1381">
        <f>CFG!I250</f>
        <v/>
      </c>
      <c r="I588" s="1381">
        <f>CFG!J250</f>
        <v/>
      </c>
      <c r="J588" s="1381">
        <f>CFG!K250</f>
        <v/>
      </c>
      <c r="K588" s="1381">
        <f>CFG!L250</f>
        <v/>
      </c>
      <c r="L588" s="1381">
        <f>CFG!M250</f>
        <v/>
      </c>
      <c r="M588" s="1381">
        <f>CFG!N250</f>
        <v/>
      </c>
      <c r="N588" s="1381">
        <f>CFG!O250</f>
        <v/>
      </c>
      <c r="O588" s="1381">
        <f>CFG!P250</f>
        <v/>
      </c>
      <c r="P588" s="49">
        <f>SUM(D588:O588)</f>
        <v/>
      </c>
      <c r="Q588" s="2362" t="n"/>
      <c r="R588" s="2377">
        <f>CFG!Q250</f>
        <v/>
      </c>
      <c r="S588" s="2377">
        <f>R588-P588</f>
        <v/>
      </c>
      <c r="T588" s="2362" t="n"/>
      <c r="U588" s="2362" t="n"/>
      <c r="V588" s="2362" t="n"/>
      <c r="W588" s="2362" t="n"/>
      <c r="X588" s="2362" t="n"/>
      <c r="Y588" s="2362" t="n"/>
      <c r="Z588" s="2362" t="n"/>
      <c r="AA588" s="2362" t="n"/>
      <c r="AB588" s="2362" t="n"/>
      <c r="AC588" s="2362" t="n"/>
      <c r="AD588" s="2362" t="n"/>
      <c r="AE588" s="2362" t="n"/>
      <c r="AF588" s="2362" t="n"/>
      <c r="AG588" s="2362" t="n"/>
      <c r="AH588" s="2362" t="n"/>
      <c r="AI588" s="2362" t="n"/>
      <c r="AJ588" s="2362" t="n"/>
      <c r="AK588" s="2362" t="n"/>
      <c r="AL588" s="2362" t="n"/>
      <c r="AM588" s="2362" t="n"/>
      <c r="AN588" s="2362" t="n"/>
      <c r="AO588" s="2362" t="n"/>
      <c r="AP588" s="2362" t="n"/>
      <c r="AQ588" s="2362" t="n"/>
      <c r="AR588" s="2362" t="n"/>
      <c r="AS588" s="2362" t="n"/>
      <c r="AT588" s="2362" t="n"/>
      <c r="AU588" s="2362" t="n"/>
      <c r="AV588" s="2362" t="n"/>
      <c r="AW588" s="2362" t="n"/>
      <c r="AX588" s="2362" t="n"/>
      <c r="AY588" s="2362" t="n"/>
      <c r="AZ588" s="2362" t="n"/>
      <c r="BA588" s="2362" t="n"/>
      <c r="BB588" s="2362" t="n"/>
      <c r="BC588" s="2362" t="n"/>
      <c r="BD588" s="2362" t="n"/>
      <c r="BE588" s="2362" t="n"/>
    </row>
    <row customFormat="1" customHeight="1" ht="18" r="589" s="2437" spans="1:57">
      <c r="A589" s="2378" t="s">
        <v>236</v>
      </c>
      <c r="B589" s="66" t="n"/>
      <c r="C589" s="2379" t="s">
        <v>189</v>
      </c>
      <c r="D589" s="1380">
        <f>CFG!E251</f>
        <v/>
      </c>
      <c r="E589" s="1380">
        <f>CFG!F251</f>
        <v/>
      </c>
      <c r="F589" s="1380">
        <f>CFG!G251</f>
        <v/>
      </c>
      <c r="G589" s="1380">
        <f>CFG!H251</f>
        <v/>
      </c>
      <c r="H589" s="1380">
        <f>CFG!I251</f>
        <v/>
      </c>
      <c r="I589" s="1380">
        <f>CFG!J251</f>
        <v/>
      </c>
      <c r="J589" s="1380">
        <f>CFG!K251</f>
        <v/>
      </c>
      <c r="K589" s="1380">
        <f>CFG!L251</f>
        <v/>
      </c>
      <c r="L589" s="1380">
        <f>CFG!M251</f>
        <v/>
      </c>
      <c r="M589" s="1380">
        <f>CFG!N251</f>
        <v/>
      </c>
      <c r="N589" s="1380">
        <f>CFG!O251</f>
        <v/>
      </c>
      <c r="O589" s="1380">
        <f>CFG!P251</f>
        <v/>
      </c>
      <c r="P589" s="46">
        <f>SUM(D589:O589)</f>
        <v/>
      </c>
      <c r="Q589" s="2362" t="n"/>
      <c r="R589" s="2377">
        <f>CFG!Q251</f>
        <v/>
      </c>
      <c r="S589" s="2377">
        <f>R589-P589</f>
        <v/>
      </c>
      <c r="T589" s="2362" t="n"/>
      <c r="U589" s="2362" t="n"/>
      <c r="V589" s="2362" t="n"/>
      <c r="W589" s="2362" t="n"/>
      <c r="X589" s="2362" t="n"/>
      <c r="Y589" s="2362" t="n"/>
      <c r="Z589" s="2362" t="n"/>
      <c r="AA589" s="2362" t="n"/>
      <c r="AB589" s="2362" t="n"/>
      <c r="AC589" s="2362" t="n"/>
      <c r="AD589" s="2362" t="n"/>
      <c r="AE589" s="2362" t="n"/>
      <c r="AF589" s="2362" t="n"/>
      <c r="AG589" s="2362" t="n"/>
      <c r="AH589" s="2362" t="n"/>
      <c r="AI589" s="2362" t="n"/>
      <c r="AJ589" s="2362" t="n"/>
      <c r="AK589" s="2362" t="n"/>
      <c r="AL589" s="2362" t="n"/>
      <c r="AM589" s="2362" t="n"/>
      <c r="AN589" s="2362" t="n"/>
      <c r="AO589" s="2362" t="n"/>
      <c r="AP589" s="2362" t="n"/>
      <c r="AQ589" s="2362" t="n"/>
      <c r="AR589" s="2362" t="n"/>
      <c r="AS589" s="2362" t="n"/>
      <c r="AT589" s="2362" t="n"/>
      <c r="AU589" s="2362" t="n"/>
      <c r="AV589" s="2362" t="n"/>
      <c r="AW589" s="2362" t="n"/>
      <c r="AX589" s="2362" t="n"/>
      <c r="AY589" s="2362" t="n"/>
      <c r="AZ589" s="2362" t="n"/>
      <c r="BA589" s="2362" t="n"/>
      <c r="BB589" s="2362" t="n"/>
      <c r="BC589" s="2362" t="n"/>
      <c r="BD589" s="2362" t="n"/>
      <c r="BE589" s="2362" t="n"/>
    </row>
    <row customFormat="1" customHeight="1" ht="14.25" r="590" s="2437" spans="1:57">
      <c r="A590" s="2381" t="s">
        <v>105</v>
      </c>
      <c r="B590" s="66" t="n"/>
      <c r="C590" s="2379" t="s">
        <v>212</v>
      </c>
      <c r="D590" s="9">
        <f>CFG!E398</f>
        <v/>
      </c>
      <c r="E590" s="9">
        <f>CFG!F398</f>
        <v/>
      </c>
      <c r="F590" s="9">
        <f>CFG!G398</f>
        <v/>
      </c>
      <c r="G590" s="9">
        <f>CFG!H398</f>
        <v/>
      </c>
      <c r="H590" s="9">
        <f>CFG!I398</f>
        <v/>
      </c>
      <c r="I590" s="9">
        <f>CFG!J398</f>
        <v/>
      </c>
      <c r="J590" s="9">
        <f>CFG!K398</f>
        <v/>
      </c>
      <c r="K590" s="9">
        <f>CFG!L398</f>
        <v/>
      </c>
      <c r="L590" s="9">
        <f>CFG!M398</f>
        <v/>
      </c>
      <c r="M590" s="9">
        <f>CFG!N398</f>
        <v/>
      </c>
      <c r="N590" s="9">
        <f>CFG!O398</f>
        <v/>
      </c>
      <c r="O590" s="9">
        <f>CFG!P398</f>
        <v/>
      </c>
      <c r="P590" s="46">
        <f>SUM(D590:O590)</f>
        <v/>
      </c>
      <c r="Q590" s="2362" t="n"/>
      <c r="R590" s="2377">
        <f>CFG!Q252</f>
        <v/>
      </c>
      <c r="S590" s="2377">
        <f>R590-P590</f>
        <v/>
      </c>
      <c r="T590" s="2362" t="n"/>
      <c r="U590" s="2362" t="n"/>
      <c r="V590" s="2362" t="n"/>
      <c r="W590" s="2362" t="n"/>
      <c r="X590" s="2362" t="n"/>
      <c r="Y590" s="2362" t="n"/>
      <c r="Z590" s="2362" t="n"/>
      <c r="AA590" s="2362" t="n"/>
      <c r="AB590" s="2362" t="n"/>
      <c r="AC590" s="2362" t="n"/>
      <c r="AD590" s="2362" t="n"/>
      <c r="AE590" s="2362" t="n"/>
      <c r="AF590" s="2362" t="n"/>
      <c r="AG590" s="2362" t="n"/>
      <c r="AH590" s="2362" t="n"/>
      <c r="AI590" s="2362" t="n"/>
      <c r="AJ590" s="2362" t="n"/>
      <c r="AK590" s="2362" t="n"/>
      <c r="AL590" s="2362" t="n"/>
      <c r="AM590" s="2362" t="n"/>
      <c r="AN590" s="2362" t="n"/>
      <c r="AO590" s="2362" t="n"/>
      <c r="AP590" s="2362" t="n"/>
      <c r="AQ590" s="2362" t="n"/>
      <c r="AR590" s="2362" t="n"/>
      <c r="AS590" s="2362" t="n"/>
      <c r="AT590" s="2362" t="n"/>
      <c r="AU590" s="2362" t="n"/>
      <c r="AV590" s="2362" t="n"/>
      <c r="AW590" s="2362" t="n"/>
      <c r="AX590" s="2362" t="n"/>
      <c r="AY590" s="2362" t="n"/>
      <c r="AZ590" s="2362" t="n"/>
      <c r="BA590" s="2362" t="n"/>
      <c r="BB590" s="2362" t="n"/>
      <c r="BC590" s="2362" t="n"/>
      <c r="BD590" s="2362" t="n"/>
      <c r="BE590" s="2362" t="n"/>
    </row>
    <row customFormat="1" customHeight="1" ht="14.25" r="591" s="2437" spans="1:57">
      <c r="A591" s="2381" t="n"/>
      <c r="B591" s="66" t="n"/>
      <c r="C591" s="2379" t="s">
        <v>191</v>
      </c>
      <c r="D591" s="9">
        <f>CFG!E253</f>
        <v/>
      </c>
      <c r="E591" s="9">
        <f>CFG!F253</f>
        <v/>
      </c>
      <c r="F591" s="9">
        <f>CFG!G253</f>
        <v/>
      </c>
      <c r="G591" s="9">
        <f>CFG!H253</f>
        <v/>
      </c>
      <c r="H591" s="9">
        <f>CFG!I253</f>
        <v/>
      </c>
      <c r="I591" s="9">
        <f>CFG!J253</f>
        <v/>
      </c>
      <c r="J591" s="9">
        <f>CFG!K253</f>
        <v/>
      </c>
      <c r="K591" s="9">
        <f>CFG!L253</f>
        <v/>
      </c>
      <c r="L591" s="9">
        <f>CFG!M253</f>
        <v/>
      </c>
      <c r="M591" s="9">
        <f>CFG!N253</f>
        <v/>
      </c>
      <c r="N591" s="9">
        <f>CFG!O253</f>
        <v/>
      </c>
      <c r="O591" s="9">
        <f>CFG!P253</f>
        <v/>
      </c>
      <c r="P591" s="46">
        <f>SUM(D591:O591)</f>
        <v/>
      </c>
      <c r="Q591" s="2362" t="n"/>
      <c r="R591" s="2377">
        <f>CFG!Q253</f>
        <v/>
      </c>
      <c r="S591" s="2377">
        <f>R591-P591</f>
        <v/>
      </c>
      <c r="T591" s="2362" t="n"/>
      <c r="U591" s="2362" t="n"/>
      <c r="V591" s="2362" t="n"/>
      <c r="W591" s="2362" t="n"/>
      <c r="X591" s="2362" t="n"/>
      <c r="Y591" s="2362" t="n"/>
      <c r="Z591" s="2362" t="n"/>
      <c r="AA591" s="2362" t="n"/>
      <c r="AB591" s="2362" t="n"/>
      <c r="AC591" s="2362" t="n"/>
      <c r="AD591" s="2362" t="n"/>
      <c r="AE591" s="2362" t="n"/>
      <c r="AF591" s="2362" t="n"/>
      <c r="AG591" s="2362" t="n"/>
      <c r="AH591" s="2362" t="n"/>
      <c r="AI591" s="2362" t="n"/>
      <c r="AJ591" s="2362" t="n"/>
      <c r="AK591" s="2362" t="n"/>
      <c r="AL591" s="2362" t="n"/>
      <c r="AM591" s="2362" t="n"/>
      <c r="AN591" s="2362" t="n"/>
      <c r="AO591" s="2362" t="n"/>
      <c r="AP591" s="2362" t="n"/>
      <c r="AQ591" s="2362" t="n"/>
      <c r="AR591" s="2362" t="n"/>
      <c r="AS591" s="2362" t="n"/>
      <c r="AT591" s="2362" t="n"/>
      <c r="AU591" s="2362" t="n"/>
      <c r="AV591" s="2362" t="n"/>
      <c r="AW591" s="2362" t="n"/>
      <c r="AX591" s="2362" t="n"/>
      <c r="AY591" s="2362" t="n"/>
      <c r="AZ591" s="2362" t="n"/>
      <c r="BA591" s="2362" t="n"/>
      <c r="BB591" s="2362" t="n"/>
      <c r="BC591" s="2362" t="n"/>
      <c r="BD591" s="2362" t="n"/>
      <c r="BE591" s="2362" t="n"/>
    </row>
    <row customFormat="1" customHeight="1" ht="14.25" r="592" s="2437" spans="1:57">
      <c r="A592" s="2381" t="n"/>
      <c r="B592" s="66" t="n"/>
      <c r="C592" s="2379" t="s">
        <v>192</v>
      </c>
      <c r="D592" s="1380">
        <f>CFG!E254</f>
        <v/>
      </c>
      <c r="E592" s="1380">
        <f>CFG!F254</f>
        <v/>
      </c>
      <c r="F592" s="1380">
        <f>CFG!G254</f>
        <v/>
      </c>
      <c r="G592" s="1380">
        <f>CFG!H254</f>
        <v/>
      </c>
      <c r="H592" s="1380">
        <f>CFG!I254</f>
        <v/>
      </c>
      <c r="I592" s="1380">
        <f>CFG!J254</f>
        <v/>
      </c>
      <c r="J592" s="1380">
        <f>CFG!K254</f>
        <v/>
      </c>
      <c r="K592" s="1380">
        <f>CFG!L254</f>
        <v/>
      </c>
      <c r="L592" s="1380">
        <f>CFG!M254</f>
        <v/>
      </c>
      <c r="M592" s="1380">
        <f>CFG!N254</f>
        <v/>
      </c>
      <c r="N592" s="1380">
        <f>CFG!O254</f>
        <v/>
      </c>
      <c r="O592" s="1380">
        <f>CFG!P254</f>
        <v/>
      </c>
      <c r="P592" s="46">
        <f>SUM(D592:O592)</f>
        <v/>
      </c>
      <c r="Q592" s="2362" t="n"/>
      <c r="R592" s="2377">
        <f>CFG!Q254</f>
        <v/>
      </c>
      <c r="S592" s="2377">
        <f>R592-P592</f>
        <v/>
      </c>
      <c r="T592" s="2362" t="n"/>
      <c r="U592" s="2362" t="n"/>
      <c r="V592" s="2362" t="n"/>
      <c r="W592" s="2362" t="n"/>
      <c r="X592" s="2362" t="n"/>
      <c r="Y592" s="2362" t="n"/>
      <c r="Z592" s="2362" t="n"/>
      <c r="AA592" s="2362" t="n"/>
      <c r="AB592" s="2362" t="n"/>
      <c r="AC592" s="2362" t="n"/>
      <c r="AD592" s="2362" t="n"/>
      <c r="AE592" s="2362" t="n"/>
      <c r="AF592" s="2362" t="n"/>
      <c r="AG592" s="2362" t="n"/>
      <c r="AH592" s="2362" t="n"/>
      <c r="AI592" s="2362" t="n"/>
      <c r="AJ592" s="2362" t="n"/>
      <c r="AK592" s="2362" t="n"/>
      <c r="AL592" s="2362" t="n"/>
      <c r="AM592" s="2362" t="n"/>
      <c r="AN592" s="2362" t="n"/>
      <c r="AO592" s="2362" t="n"/>
      <c r="AP592" s="2362" t="n"/>
      <c r="AQ592" s="2362" t="n"/>
      <c r="AR592" s="2362" t="n"/>
      <c r="AS592" s="2362" t="n"/>
      <c r="AT592" s="2362" t="n"/>
      <c r="AU592" s="2362" t="n"/>
      <c r="AV592" s="2362" t="n"/>
      <c r="AW592" s="2362" t="n"/>
      <c r="AX592" s="2362" t="n"/>
      <c r="AY592" s="2362" t="n"/>
      <c r="AZ592" s="2362" t="n"/>
      <c r="BA592" s="2362" t="n"/>
      <c r="BB592" s="2362" t="n"/>
      <c r="BC592" s="2362" t="n"/>
      <c r="BD592" s="2362" t="n"/>
      <c r="BE592" s="2362" t="n"/>
    </row>
    <row customFormat="1" customHeight="1" ht="14.25" r="593" s="2437" spans="1:57">
      <c r="A593" s="2381" t="n"/>
      <c r="B593" s="66" t="n"/>
      <c r="C593" s="2379" t="s">
        <v>213</v>
      </c>
      <c r="D593" s="1380">
        <f>CFG!E256</f>
        <v/>
      </c>
      <c r="E593" s="1380">
        <f>CFG!F256</f>
        <v/>
      </c>
      <c r="F593" s="1380">
        <f>CFG!G256</f>
        <v/>
      </c>
      <c r="G593" s="1380">
        <f>CFG!H256</f>
        <v/>
      </c>
      <c r="H593" s="1380">
        <f>CFG!I256</f>
        <v/>
      </c>
      <c r="I593" s="1380">
        <f>CFG!J256</f>
        <v/>
      </c>
      <c r="J593" s="1380">
        <f>CFG!K256</f>
        <v/>
      </c>
      <c r="K593" s="1380">
        <f>CFG!L256</f>
        <v/>
      </c>
      <c r="L593" s="1380">
        <f>CFG!M256</f>
        <v/>
      </c>
      <c r="M593" s="1380">
        <f>CFG!N256</f>
        <v/>
      </c>
      <c r="N593" s="1380">
        <f>CFG!O256</f>
        <v/>
      </c>
      <c r="O593" s="1380">
        <f>CFG!P256</f>
        <v/>
      </c>
      <c r="P593" s="47">
        <f>SUM(D593:O593)</f>
        <v/>
      </c>
      <c r="Q593" s="2362" t="n"/>
      <c r="R593" s="2377">
        <f>CFG!Q256</f>
        <v/>
      </c>
      <c r="S593" s="2377">
        <f>R593-P593</f>
        <v/>
      </c>
      <c r="T593" s="2362" t="n"/>
      <c r="U593" s="2362" t="n"/>
      <c r="V593" s="2362" t="n"/>
      <c r="W593" s="2362" t="n"/>
      <c r="X593" s="2362" t="n"/>
      <c r="Y593" s="2362" t="n"/>
      <c r="Z593" s="2362" t="n"/>
      <c r="AA593" s="2362" t="n"/>
      <c r="AB593" s="2362" t="n"/>
      <c r="AC593" s="2362" t="n"/>
      <c r="AD593" s="2362" t="n"/>
      <c r="AE593" s="2362" t="n"/>
      <c r="AF593" s="2362" t="n"/>
      <c r="AG593" s="2362" t="n"/>
      <c r="AH593" s="2362" t="n"/>
      <c r="AI593" s="2362" t="n"/>
      <c r="AJ593" s="2362" t="n"/>
      <c r="AK593" s="2362" t="n"/>
      <c r="AL593" s="2362" t="n"/>
      <c r="AM593" s="2362" t="n"/>
      <c r="AN593" s="2362" t="n"/>
      <c r="AO593" s="2362" t="n"/>
      <c r="AP593" s="2362" t="n"/>
      <c r="AQ593" s="2362" t="n"/>
      <c r="AR593" s="2362" t="n"/>
      <c r="AS593" s="2362" t="n"/>
      <c r="AT593" s="2362" t="n"/>
      <c r="AU593" s="2362" t="n"/>
      <c r="AV593" s="2362" t="n"/>
      <c r="AW593" s="2362" t="n"/>
      <c r="AX593" s="2362" t="n"/>
      <c r="AY593" s="2362" t="n"/>
      <c r="AZ593" s="2362" t="n"/>
      <c r="BA593" s="2362" t="n"/>
      <c r="BB593" s="2362" t="n"/>
      <c r="BC593" s="2362" t="n"/>
      <c r="BD593" s="2362" t="n"/>
      <c r="BE593" s="2362" t="n"/>
    </row>
    <row customFormat="1" customHeight="1" ht="14.25" r="594" s="2437" spans="1:57">
      <c r="A594" s="2381" t="n"/>
      <c r="B594" s="69" t="n"/>
      <c r="C594" s="2383" t="s">
        <v>195</v>
      </c>
      <c r="D594" s="97">
        <f>SUM(CFG!E257:E260)</f>
        <v/>
      </c>
      <c r="E594" s="97">
        <f>SUM(CFG!F257:F260)</f>
        <v/>
      </c>
      <c r="F594" s="97">
        <f>SUM(CFG!G257:G260)</f>
        <v/>
      </c>
      <c r="G594" s="97">
        <f>SUM(CFG!H257:H260)</f>
        <v/>
      </c>
      <c r="H594" s="97">
        <f>SUM(CFG!I257:I260)</f>
        <v/>
      </c>
      <c r="I594" s="97">
        <f>SUM(CFG!J257:J260)</f>
        <v/>
      </c>
      <c r="J594" s="97">
        <f>SUM(CFG!K257:K260)</f>
        <v/>
      </c>
      <c r="K594" s="97">
        <f>SUM(CFG!L257:L260)</f>
        <v/>
      </c>
      <c r="L594" s="97">
        <f>SUM(CFG!M257:M260)</f>
        <v/>
      </c>
      <c r="M594" s="97">
        <f>SUM(CFG!N257:N260)</f>
        <v/>
      </c>
      <c r="N594" s="97">
        <f>SUM(CFG!O257:O260)</f>
        <v/>
      </c>
      <c r="O594" s="97">
        <f>SUM(CFG!P257:P260)</f>
        <v/>
      </c>
      <c r="P594" s="95">
        <f>SUM(D594:O594)</f>
        <v/>
      </c>
      <c r="Q594" s="2362" t="n"/>
      <c r="R594" s="2377">
        <f>SUM(CFG!Q257:'CFG'!Q260)</f>
        <v/>
      </c>
      <c r="S594" s="2377">
        <f>R594-P594</f>
        <v/>
      </c>
      <c r="T594" s="2362" t="n"/>
      <c r="U594" s="2362" t="n"/>
      <c r="V594" s="2362" t="n"/>
      <c r="W594" s="2362" t="n"/>
      <c r="X594" s="2362" t="n"/>
      <c r="Y594" s="2362" t="n"/>
      <c r="Z594" s="2362" t="n"/>
      <c r="AA594" s="2362" t="n"/>
      <c r="AB594" s="2362" t="n"/>
      <c r="AC594" s="2362" t="n"/>
      <c r="AD594" s="2362" t="n"/>
      <c r="AE594" s="2362" t="n"/>
      <c r="AF594" s="2362" t="n"/>
      <c r="AG594" s="2362" t="n"/>
      <c r="AH594" s="2362" t="n"/>
      <c r="AI594" s="2362" t="n"/>
      <c r="AJ594" s="2362" t="n"/>
      <c r="AK594" s="2362" t="n"/>
      <c r="AL594" s="2362" t="n"/>
      <c r="AM594" s="2362" t="n"/>
      <c r="AN594" s="2362" t="n"/>
      <c r="AO594" s="2362" t="n"/>
      <c r="AP594" s="2362" t="n"/>
      <c r="AQ594" s="2362" t="n"/>
      <c r="AR594" s="2362" t="n"/>
      <c r="AS594" s="2362" t="n"/>
      <c r="AT594" s="2362" t="n"/>
      <c r="AU594" s="2362" t="n"/>
      <c r="AV594" s="2362" t="n"/>
      <c r="AW594" s="2362" t="n"/>
      <c r="AX594" s="2362" t="n"/>
      <c r="AY594" s="2362" t="n"/>
      <c r="AZ594" s="2362" t="n"/>
      <c r="BA594" s="2362" t="n"/>
      <c r="BB594" s="2362" t="n"/>
      <c r="BC594" s="2362" t="n"/>
      <c r="BD594" s="2362" t="n"/>
      <c r="BE594" s="2362" t="n"/>
    </row>
    <row customFormat="1" customHeight="1" ht="14.25" r="595" s="2437" spans="1:57">
      <c r="A595" s="2381" t="n"/>
      <c r="B595" s="70" t="s">
        <v>214</v>
      </c>
      <c r="C595" s="2406" t="n"/>
      <c r="D595" s="73">
        <f>SUM(D588:D594)</f>
        <v/>
      </c>
      <c r="E595" s="73">
        <f>SUM(E588:E594)</f>
        <v/>
      </c>
      <c r="F595" s="73">
        <f>SUM(F588:F594)</f>
        <v/>
      </c>
      <c r="G595" s="73">
        <f>SUM(G588:G594)</f>
        <v/>
      </c>
      <c r="H595" s="73">
        <f>SUM(H588:H594)</f>
        <v/>
      </c>
      <c r="I595" s="73">
        <f>SUM(I588:I594)</f>
        <v/>
      </c>
      <c r="J595" s="73">
        <f>SUM(J588:J594)</f>
        <v/>
      </c>
      <c r="K595" s="73">
        <f>SUM(K588:K594)</f>
        <v/>
      </c>
      <c r="L595" s="73">
        <f>SUM(L588:L594)</f>
        <v/>
      </c>
      <c r="M595" s="73">
        <f>SUM(M588:M594)</f>
        <v/>
      </c>
      <c r="N595" s="73">
        <f>SUM(N588:N594)</f>
        <v/>
      </c>
      <c r="O595" s="73">
        <f>SUM(O588:O594)</f>
        <v/>
      </c>
      <c r="P595" s="76">
        <f>SUM(D595:O595)</f>
        <v/>
      </c>
      <c r="Q595" s="2362" t="n"/>
      <c r="R595" s="2362" t="n"/>
      <c r="S595" s="2362" t="n"/>
      <c r="T595" s="2362" t="n"/>
      <c r="U595" s="2362" t="n"/>
      <c r="V595" s="2362" t="n"/>
      <c r="W595" s="2362" t="n"/>
      <c r="X595" s="2362" t="n"/>
      <c r="Y595" s="2362" t="n"/>
      <c r="Z595" s="2362" t="n"/>
      <c r="AA595" s="2362" t="n"/>
      <c r="AB595" s="2362" t="n"/>
      <c r="AC595" s="2362" t="n"/>
      <c r="AD595" s="2362" t="n"/>
      <c r="AE595" s="2362" t="n"/>
      <c r="AF595" s="2362" t="n"/>
      <c r="AG595" s="2362" t="n"/>
      <c r="AH595" s="2362" t="n"/>
      <c r="AI595" s="2362" t="n"/>
      <c r="AJ595" s="2362" t="n"/>
      <c r="AK595" s="2362" t="n"/>
      <c r="AL595" s="2362" t="n"/>
      <c r="AM595" s="2362" t="n"/>
      <c r="AN595" s="2362" t="n"/>
      <c r="AO595" s="2362" t="n"/>
      <c r="AP595" s="2362" t="n"/>
      <c r="AQ595" s="2362" t="n"/>
      <c r="AR595" s="2362" t="n"/>
      <c r="AS595" s="2362" t="n"/>
      <c r="AT595" s="2362" t="n"/>
      <c r="AU595" s="2362" t="n"/>
      <c r="AV595" s="2362" t="n"/>
      <c r="AW595" s="2362" t="n"/>
      <c r="AX595" s="2362" t="n"/>
      <c r="AY595" s="2362" t="n"/>
      <c r="AZ595" s="2362" t="n"/>
      <c r="BA595" s="2362" t="n"/>
      <c r="BB595" s="2362" t="n"/>
      <c r="BC595" s="2362" t="n"/>
      <c r="BD595" s="2362" t="n"/>
      <c r="BE595" s="2362" t="n"/>
    </row>
    <row customFormat="1" customHeight="1" ht="14.25" r="596" s="2437" spans="1:57">
      <c r="A596" s="2381" t="n"/>
      <c r="B596" s="123" t="n"/>
      <c r="C596" s="2385" t="s">
        <v>161</v>
      </c>
      <c r="D596" s="962">
        <f>CFG!E265</f>
        <v/>
      </c>
      <c r="E596" s="962">
        <f>CFG!F265</f>
        <v/>
      </c>
      <c r="F596" s="962">
        <f>CFG!G265</f>
        <v/>
      </c>
      <c r="G596" s="962">
        <f>CFG!H265</f>
        <v/>
      </c>
      <c r="H596" s="962">
        <f>CFG!I265</f>
        <v/>
      </c>
      <c r="I596" s="962">
        <f>CFG!J265</f>
        <v/>
      </c>
      <c r="J596" s="962">
        <f>CFG!K265</f>
        <v/>
      </c>
      <c r="K596" s="962">
        <f>CFG!L265</f>
        <v/>
      </c>
      <c r="L596" s="962">
        <f>CFG!M265</f>
        <v/>
      </c>
      <c r="M596" s="962">
        <f>CFG!N265</f>
        <v/>
      </c>
      <c r="N596" s="962">
        <f>CFG!O265</f>
        <v/>
      </c>
      <c r="O596" s="962">
        <f>CFG!P265</f>
        <v/>
      </c>
      <c r="P596" s="85">
        <f>SUM(D596:O596)</f>
        <v/>
      </c>
      <c r="Q596" s="2362" t="n"/>
      <c r="R596" s="2377">
        <f>CFG!Q265</f>
        <v/>
      </c>
      <c r="S596" s="2377">
        <f>R596-P596</f>
        <v/>
      </c>
      <c r="T596" s="2362" t="n"/>
      <c r="U596" s="2362" t="n"/>
      <c r="V596" s="2362" t="n"/>
      <c r="W596" s="2362" t="n"/>
      <c r="X596" s="2362" t="n"/>
      <c r="Y596" s="2362" t="n"/>
      <c r="Z596" s="2362" t="n"/>
      <c r="AA596" s="2362" t="n"/>
      <c r="AB596" s="2362" t="n"/>
      <c r="AC596" s="2362" t="n"/>
      <c r="AD596" s="2362" t="n"/>
      <c r="AE596" s="2362" t="n"/>
      <c r="AF596" s="2362" t="n"/>
      <c r="AG596" s="2362" t="n"/>
      <c r="AH596" s="2362" t="n"/>
      <c r="AI596" s="2362" t="n"/>
      <c r="AJ596" s="2362" t="n"/>
      <c r="AK596" s="2362" t="n"/>
      <c r="AL596" s="2362" t="n"/>
      <c r="AM596" s="2362" t="n"/>
      <c r="AN596" s="2362" t="n"/>
      <c r="AO596" s="2362" t="n"/>
      <c r="AP596" s="2362" t="n"/>
      <c r="AQ596" s="2362" t="n"/>
      <c r="AR596" s="2362" t="n"/>
      <c r="AS596" s="2362" t="n"/>
      <c r="AT596" s="2362" t="n"/>
      <c r="AU596" s="2362" t="n"/>
      <c r="AV596" s="2362" t="n"/>
      <c r="AW596" s="2362" t="n"/>
      <c r="AX596" s="2362" t="n"/>
      <c r="AY596" s="2362" t="n"/>
      <c r="AZ596" s="2362" t="n"/>
      <c r="BA596" s="2362" t="n"/>
      <c r="BB596" s="2362" t="n"/>
      <c r="BC596" s="2362" t="n"/>
      <c r="BD596" s="2362" t="n"/>
      <c r="BE596" s="2362" t="n"/>
    </row>
    <row customFormat="1" customHeight="1" ht="14.25" r="597" s="2437" spans="1:57">
      <c r="A597" s="2408" t="n"/>
      <c r="B597" s="71" t="n"/>
      <c r="C597" s="2385" t="s">
        <v>215</v>
      </c>
      <c r="D597" s="87">
        <f>CFG!E266</f>
        <v/>
      </c>
      <c r="E597" s="87">
        <f>CFG!F266</f>
        <v/>
      </c>
      <c r="F597" s="87">
        <f>CFG!G266</f>
        <v/>
      </c>
      <c r="G597" s="87">
        <f>CFG!H266</f>
        <v/>
      </c>
      <c r="H597" s="87">
        <f>CFG!I266</f>
        <v/>
      </c>
      <c r="I597" s="87">
        <f>CFG!J266</f>
        <v/>
      </c>
      <c r="J597" s="87">
        <f>CFG!K266</f>
        <v/>
      </c>
      <c r="K597" s="87">
        <f>CFG!L266</f>
        <v/>
      </c>
      <c r="L597" s="87">
        <f>CFG!M266</f>
        <v/>
      </c>
      <c r="M597" s="87">
        <f>CFG!N266</f>
        <v/>
      </c>
      <c r="N597" s="87">
        <f>CFG!O266</f>
        <v/>
      </c>
      <c r="O597" s="87">
        <f>CFG!P266</f>
        <v/>
      </c>
      <c r="P597" s="85">
        <f>SUM(D597:O597)</f>
        <v/>
      </c>
      <c r="Q597" s="2362" t="n"/>
      <c r="R597" s="2377">
        <f>CFG!Q266</f>
        <v/>
      </c>
      <c r="S597" s="2377">
        <f>R597-P597</f>
        <v/>
      </c>
      <c r="T597" s="2362" t="n"/>
      <c r="U597" s="2362" t="n"/>
      <c r="V597" s="2362" t="n"/>
      <c r="W597" s="2362" t="n"/>
      <c r="X597" s="2362" t="n"/>
      <c r="Y597" s="2362" t="n"/>
      <c r="Z597" s="2362" t="n"/>
      <c r="AA597" s="2362" t="n"/>
      <c r="AB597" s="2362" t="n"/>
      <c r="AC597" s="2362" t="n"/>
      <c r="AD597" s="2362" t="n"/>
      <c r="AE597" s="2362" t="n"/>
      <c r="AF597" s="2362" t="n"/>
      <c r="AG597" s="2362" t="n"/>
      <c r="AH597" s="2362" t="n"/>
      <c r="AI597" s="2362" t="n"/>
      <c r="AJ597" s="2362" t="n"/>
      <c r="AK597" s="2362" t="n"/>
      <c r="AL597" s="2362" t="n"/>
      <c r="AM597" s="2362" t="n"/>
      <c r="AN597" s="2362" t="n"/>
      <c r="AO597" s="2362" t="n"/>
      <c r="AP597" s="2362" t="n"/>
      <c r="AQ597" s="2362" t="n"/>
      <c r="AR597" s="2362" t="n"/>
      <c r="AS597" s="2362" t="n"/>
      <c r="AT597" s="2362" t="n"/>
      <c r="AU597" s="2362" t="n"/>
      <c r="AV597" s="2362" t="n"/>
      <c r="AW597" s="2362" t="n"/>
      <c r="AX597" s="2362" t="n"/>
      <c r="AY597" s="2362" t="n"/>
      <c r="AZ597" s="2362" t="n"/>
      <c r="BA597" s="2362" t="n"/>
      <c r="BB597" s="2362" t="n"/>
      <c r="BC597" s="2362" t="n"/>
      <c r="BD597" s="2362" t="n"/>
      <c r="BE597" s="2362" t="n"/>
    </row>
    <row customFormat="1" customHeight="1" ht="14.25" r="598" s="2437" spans="1:57">
      <c r="A598" s="2407" t="n"/>
      <c r="B598" s="123" t="n"/>
      <c r="C598" s="2385" t="s">
        <v>232</v>
      </c>
      <c r="D598" s="962">
        <f>CFG!E372</f>
        <v/>
      </c>
      <c r="E598" s="962">
        <f>CFG!F372</f>
        <v/>
      </c>
      <c r="F598" s="962">
        <f>CFG!G372</f>
        <v/>
      </c>
      <c r="G598" s="962">
        <f>CFG!H372</f>
        <v/>
      </c>
      <c r="H598" s="962">
        <f>CFG!I372</f>
        <v/>
      </c>
      <c r="I598" s="962">
        <f>CFG!J372</f>
        <v/>
      </c>
      <c r="J598" s="962">
        <f>CFG!K372</f>
        <v/>
      </c>
      <c r="K598" s="962">
        <f>CFG!L372</f>
        <v/>
      </c>
      <c r="L598" s="962">
        <f>CFG!M372</f>
        <v/>
      </c>
      <c r="M598" s="962">
        <f>CFG!N372</f>
        <v/>
      </c>
      <c r="N598" s="962">
        <f>CFG!O372</f>
        <v/>
      </c>
      <c r="O598" s="962">
        <f>CFG!P372</f>
        <v/>
      </c>
      <c r="P598" s="85">
        <f>SUM(D598:O598)</f>
        <v/>
      </c>
      <c r="Q598" s="2362" t="n"/>
      <c r="R598" s="2377">
        <f>CFG!Q376</f>
        <v/>
      </c>
      <c r="S598" s="2377">
        <f>R598-P598</f>
        <v/>
      </c>
      <c r="T598" s="2362" t="n"/>
      <c r="U598" s="2362" t="n"/>
      <c r="V598" s="2362" t="n"/>
      <c r="W598" s="2362" t="n"/>
      <c r="X598" s="2362" t="n"/>
      <c r="Y598" s="2362" t="n"/>
      <c r="Z598" s="2362" t="n"/>
      <c r="AA598" s="2362" t="n"/>
      <c r="AB598" s="2362" t="n"/>
      <c r="AC598" s="2362" t="n"/>
      <c r="AD598" s="2362" t="n"/>
      <c r="AE598" s="2362" t="n"/>
      <c r="AF598" s="2362" t="n"/>
      <c r="AG598" s="2362" t="n"/>
      <c r="AH598" s="2362" t="n"/>
      <c r="AI598" s="2362" t="n"/>
      <c r="AJ598" s="2362" t="n"/>
      <c r="AK598" s="2362" t="n"/>
      <c r="AL598" s="2362" t="n"/>
      <c r="AM598" s="2362" t="n"/>
      <c r="AN598" s="2362" t="n"/>
      <c r="AO598" s="2362" t="n"/>
      <c r="AP598" s="2362" t="n"/>
      <c r="AQ598" s="2362" t="n"/>
      <c r="AR598" s="2362" t="n"/>
      <c r="AS598" s="2362" t="n"/>
      <c r="AT598" s="2362" t="n"/>
      <c r="AU598" s="2362" t="n"/>
      <c r="AV598" s="2362" t="n"/>
      <c r="AW598" s="2362" t="n"/>
      <c r="AX598" s="2362" t="n"/>
      <c r="AY598" s="2362" t="n"/>
      <c r="AZ598" s="2362" t="n"/>
      <c r="BA598" s="2362" t="n"/>
      <c r="BB598" s="2362" t="n"/>
      <c r="BC598" s="2362" t="n"/>
      <c r="BD598" s="2362" t="n"/>
      <c r="BE598" s="2362" t="n"/>
    </row>
    <row customFormat="1" customHeight="1" ht="14.25" r="599" s="2437" spans="1:57">
      <c r="A599" s="2407" t="n"/>
      <c r="B599" s="123" t="n"/>
      <c r="C599" s="2385" t="s">
        <v>233</v>
      </c>
      <c r="D599" s="962">
        <f>CFG!E481</f>
        <v/>
      </c>
      <c r="E599" s="962">
        <f>CFG!F481</f>
        <v/>
      </c>
      <c r="F599" s="962">
        <f>CFG!G481</f>
        <v/>
      </c>
      <c r="G599" s="962">
        <f>CFG!H481</f>
        <v/>
      </c>
      <c r="H599" s="962">
        <f>CFG!I481</f>
        <v/>
      </c>
      <c r="I599" s="962">
        <f>CFG!J481</f>
        <v/>
      </c>
      <c r="J599" s="962">
        <f>CFG!K481</f>
        <v/>
      </c>
      <c r="K599" s="962">
        <f>CFG!L481</f>
        <v/>
      </c>
      <c r="L599" s="962">
        <f>CFG!M481</f>
        <v/>
      </c>
      <c r="M599" s="962">
        <f>CFG!N481</f>
        <v/>
      </c>
      <c r="N599" s="962">
        <f>CFG!O481</f>
        <v/>
      </c>
      <c r="O599" s="962">
        <f>CFG!P481</f>
        <v/>
      </c>
      <c r="P599" s="85">
        <f>SUM(D599:O599)</f>
        <v/>
      </c>
      <c r="Q599" s="2362" t="n"/>
      <c r="R599" s="2377">
        <f>CFG!Q481</f>
        <v/>
      </c>
      <c r="S599" s="2377">
        <f>R599-P599</f>
        <v/>
      </c>
      <c r="T599" s="2362" t="n"/>
      <c r="U599" s="2362" t="n"/>
      <c r="V599" s="2362" t="n"/>
      <c r="W599" s="2362" t="n"/>
      <c r="X599" s="2362" t="n"/>
      <c r="Y599" s="2362" t="n"/>
      <c r="Z599" s="2362" t="n"/>
      <c r="AA599" s="2362" t="n"/>
      <c r="AB599" s="2362" t="n"/>
      <c r="AC599" s="2362" t="n"/>
      <c r="AD599" s="2362" t="n"/>
      <c r="AE599" s="2362" t="n"/>
      <c r="AF599" s="2362" t="n"/>
      <c r="AG599" s="2362" t="n"/>
      <c r="AH599" s="2362" t="n"/>
      <c r="AI599" s="2362" t="n"/>
      <c r="AJ599" s="2362" t="n"/>
      <c r="AK599" s="2362" t="n"/>
      <c r="AL599" s="2362" t="n"/>
      <c r="AM599" s="2362" t="n"/>
      <c r="AN599" s="2362" t="n"/>
      <c r="AO599" s="2362" t="n"/>
      <c r="AP599" s="2362" t="n"/>
      <c r="AQ599" s="2362" t="n"/>
      <c r="AR599" s="2362" t="n"/>
      <c r="AS599" s="2362" t="n"/>
      <c r="AT599" s="2362" t="n"/>
      <c r="AU599" s="2362" t="n"/>
      <c r="AV599" s="2362" t="n"/>
      <c r="AW599" s="2362" t="n"/>
      <c r="AX599" s="2362" t="n"/>
      <c r="AY599" s="2362" t="n"/>
      <c r="AZ599" s="2362" t="n"/>
      <c r="BA599" s="2362" t="n"/>
      <c r="BB599" s="2362" t="n"/>
      <c r="BC599" s="2362" t="n"/>
      <c r="BD599" s="2362" t="n"/>
      <c r="BE599" s="2362" t="n"/>
    </row>
    <row customFormat="1" customHeight="1" ht="14.25" r="600" s="2437" spans="1:57">
      <c r="A600" s="2407" t="n"/>
      <c r="B600" s="123" t="n"/>
      <c r="C600" s="2385" t="s">
        <v>199</v>
      </c>
      <c r="D600" s="87">
        <f>CFG!E463</f>
        <v/>
      </c>
      <c r="E600" s="87">
        <f>CFG!F463</f>
        <v/>
      </c>
      <c r="F600" s="87">
        <f>CFG!G463</f>
        <v/>
      </c>
      <c r="G600" s="87">
        <f>CFG!H463</f>
        <v/>
      </c>
      <c r="H600" s="87">
        <f>CFG!I463</f>
        <v/>
      </c>
      <c r="I600" s="87">
        <f>CFG!J463</f>
        <v/>
      </c>
      <c r="J600" s="87">
        <f>CFG!K463</f>
        <v/>
      </c>
      <c r="K600" s="87">
        <f>CFG!L463</f>
        <v/>
      </c>
      <c r="L600" s="87">
        <f>CFG!M463</f>
        <v/>
      </c>
      <c r="M600" s="87">
        <f>CFG!N463</f>
        <v/>
      </c>
      <c r="N600" s="87">
        <f>CFG!O463</f>
        <v/>
      </c>
      <c r="O600" s="87">
        <f>CFG!P463</f>
        <v/>
      </c>
      <c r="P600" s="85">
        <f>SUM(D600:O600)</f>
        <v/>
      </c>
      <c r="Q600" s="2362" t="n"/>
      <c r="R600" s="2377">
        <f>CFG!Q463</f>
        <v/>
      </c>
      <c r="S600" s="2377">
        <f>R600-P600</f>
        <v/>
      </c>
      <c r="T600" s="2362" t="n"/>
      <c r="U600" s="2362" t="n"/>
      <c r="V600" s="2362" t="n"/>
      <c r="W600" s="2362" t="n"/>
      <c r="X600" s="2362" t="n"/>
      <c r="Y600" s="2362" t="n"/>
      <c r="Z600" s="2362" t="n"/>
      <c r="AA600" s="2362" t="n"/>
      <c r="AB600" s="2362" t="n"/>
      <c r="AC600" s="2362" t="n"/>
      <c r="AD600" s="2362" t="n"/>
      <c r="AE600" s="2362" t="n"/>
      <c r="AF600" s="2362" t="n"/>
      <c r="AG600" s="2362" t="n"/>
      <c r="AH600" s="2362" t="n"/>
      <c r="AI600" s="2362" t="n"/>
      <c r="AJ600" s="2362" t="n"/>
      <c r="AK600" s="2362" t="n"/>
      <c r="AL600" s="2362" t="n"/>
      <c r="AM600" s="2362" t="n"/>
      <c r="AN600" s="2362" t="n"/>
      <c r="AO600" s="2362" t="n"/>
      <c r="AP600" s="2362" t="n"/>
      <c r="AQ600" s="2362" t="n"/>
      <c r="AR600" s="2362" t="n"/>
      <c r="AS600" s="2362" t="n"/>
      <c r="AT600" s="2362" t="n"/>
      <c r="AU600" s="2362" t="n"/>
      <c r="AV600" s="2362" t="n"/>
      <c r="AW600" s="2362" t="n"/>
      <c r="AX600" s="2362" t="n"/>
      <c r="AY600" s="2362" t="n"/>
      <c r="AZ600" s="2362" t="n"/>
      <c r="BA600" s="2362" t="n"/>
      <c r="BB600" s="2362" t="n"/>
      <c r="BC600" s="2362" t="n"/>
      <c r="BD600" s="2362" t="n"/>
      <c r="BE600" s="2362" t="n"/>
    </row>
    <row customFormat="1" customHeight="1" ht="14.25" r="601" s="2437" spans="1:57">
      <c r="A601" s="2407" t="n"/>
      <c r="B601" s="123" t="n"/>
      <c r="C601" s="2385" t="s">
        <v>200</v>
      </c>
      <c r="D601" s="962">
        <f>CFG!E403</f>
        <v/>
      </c>
      <c r="E601" s="962">
        <f>CFG!F403</f>
        <v/>
      </c>
      <c r="F601" s="962">
        <f>CFG!G403</f>
        <v/>
      </c>
      <c r="G601" s="962">
        <f>CFG!H403</f>
        <v/>
      </c>
      <c r="H601" s="962">
        <f>CFG!I403</f>
        <v/>
      </c>
      <c r="I601" s="962">
        <f>CFG!J403</f>
        <v/>
      </c>
      <c r="J601" s="962">
        <f>CFG!K403</f>
        <v/>
      </c>
      <c r="K601" s="962">
        <f>CFG!L403</f>
        <v/>
      </c>
      <c r="L601" s="962">
        <f>CFG!M403</f>
        <v/>
      </c>
      <c r="M601" s="962">
        <f>CFG!N403</f>
        <v/>
      </c>
      <c r="N601" s="962">
        <f>CFG!O403</f>
        <v/>
      </c>
      <c r="O601" s="962">
        <f>CFG!P403</f>
        <v/>
      </c>
      <c r="P601" s="85">
        <f>SUM(D601:O601)</f>
        <v/>
      </c>
      <c r="Q601" s="2362" t="n"/>
      <c r="R601" s="2377">
        <f>CFG!Q403</f>
        <v/>
      </c>
      <c r="S601" s="2377">
        <f>R601-P601</f>
        <v/>
      </c>
      <c r="T601" s="2362" t="n"/>
      <c r="U601" s="2362" t="n"/>
      <c r="V601" s="2362" t="n"/>
      <c r="W601" s="2362" t="n"/>
      <c r="X601" s="2362" t="n"/>
      <c r="Y601" s="2362" t="n"/>
      <c r="Z601" s="2362" t="n"/>
      <c r="AA601" s="2362" t="n"/>
      <c r="AB601" s="2362" t="n"/>
      <c r="AC601" s="2362" t="n"/>
      <c r="AD601" s="2362" t="n"/>
      <c r="AE601" s="2362" t="n"/>
      <c r="AF601" s="2362" t="n"/>
      <c r="AG601" s="2362" t="n"/>
      <c r="AH601" s="2362" t="n"/>
      <c r="AI601" s="2362" t="n"/>
      <c r="AJ601" s="2362" t="n"/>
      <c r="AK601" s="2362" t="n"/>
      <c r="AL601" s="2362" t="n"/>
      <c r="AM601" s="2362" t="n"/>
      <c r="AN601" s="2362" t="n"/>
      <c r="AO601" s="2362" t="n"/>
      <c r="AP601" s="2362" t="n"/>
      <c r="AQ601" s="2362" t="n"/>
      <c r="AR601" s="2362" t="n"/>
      <c r="AS601" s="2362" t="n"/>
      <c r="AT601" s="2362" t="n"/>
      <c r="AU601" s="2362" t="n"/>
      <c r="AV601" s="2362" t="n"/>
      <c r="AW601" s="2362" t="n"/>
      <c r="AX601" s="2362" t="n"/>
      <c r="AY601" s="2362" t="n"/>
      <c r="AZ601" s="2362" t="n"/>
      <c r="BA601" s="2362" t="n"/>
      <c r="BB601" s="2362" t="n"/>
      <c r="BC601" s="2362" t="n"/>
      <c r="BD601" s="2362" t="n"/>
      <c r="BE601" s="2362" t="n"/>
    </row>
    <row customFormat="1" customHeight="1" ht="14.25" r="602" s="2437" spans="1:57">
      <c r="A602" s="2408" t="n"/>
      <c r="B602" s="71" t="n"/>
      <c r="C602" s="2385" t="s">
        <v>201</v>
      </c>
      <c r="D602" s="87">
        <f>-CFG!E273</f>
        <v/>
      </c>
      <c r="E602" s="87">
        <f>-CFG!F273</f>
        <v/>
      </c>
      <c r="F602" s="87">
        <f>-CFG!G273</f>
        <v/>
      </c>
      <c r="G602" s="87">
        <f>-CFG!H273</f>
        <v/>
      </c>
      <c r="H602" s="87">
        <f>-CFG!I273</f>
        <v/>
      </c>
      <c r="I602" s="87">
        <f>-CFG!J273</f>
        <v/>
      </c>
      <c r="J602" s="87">
        <f>-CFG!K273</f>
        <v/>
      </c>
      <c r="K602" s="87">
        <f>-CFG!L273</f>
        <v/>
      </c>
      <c r="L602" s="87">
        <f>-CFG!M273</f>
        <v/>
      </c>
      <c r="M602" s="87">
        <f>-CFG!N273</f>
        <v/>
      </c>
      <c r="N602" s="87">
        <f>-CFG!O273</f>
        <v/>
      </c>
      <c r="O602" s="87">
        <f>-CFG!P273</f>
        <v/>
      </c>
      <c r="P602" s="122">
        <f>SUM(D602:O602)</f>
        <v/>
      </c>
      <c r="Q602" s="2362" t="n"/>
      <c r="R602" s="2377">
        <f>-CFG!Q273</f>
        <v/>
      </c>
      <c r="S602" s="2377">
        <f>R602-P602</f>
        <v/>
      </c>
      <c r="T602" s="2362" t="n"/>
      <c r="U602" s="2362" t="n"/>
      <c r="V602" s="2362" t="n"/>
      <c r="W602" s="2362" t="n"/>
      <c r="X602" s="2362" t="n"/>
      <c r="Y602" s="2362" t="n"/>
      <c r="Z602" s="2362" t="n"/>
      <c r="AA602" s="2362" t="n"/>
      <c r="AB602" s="2362" t="n"/>
      <c r="AC602" s="2362" t="n"/>
      <c r="AD602" s="2362" t="n"/>
      <c r="AE602" s="2362" t="n"/>
      <c r="AF602" s="2362" t="n"/>
      <c r="AG602" s="2362" t="n"/>
      <c r="AH602" s="2362" t="n"/>
      <c r="AI602" s="2362" t="n"/>
      <c r="AJ602" s="2362" t="n"/>
      <c r="AK602" s="2362" t="n"/>
      <c r="AL602" s="2362" t="n"/>
      <c r="AM602" s="2362" t="n"/>
      <c r="AN602" s="2362" t="n"/>
      <c r="AO602" s="2362" t="n"/>
      <c r="AP602" s="2362" t="n"/>
      <c r="AQ602" s="2362" t="n"/>
      <c r="AR602" s="2362" t="n"/>
      <c r="AS602" s="2362" t="n"/>
      <c r="AT602" s="2362" t="n"/>
      <c r="AU602" s="2362" t="n"/>
      <c r="AV602" s="2362" t="n"/>
      <c r="AW602" s="2362" t="n"/>
      <c r="AX602" s="2362" t="n"/>
      <c r="AY602" s="2362" t="n"/>
      <c r="AZ602" s="2362" t="n"/>
      <c r="BA602" s="2362" t="n"/>
      <c r="BB602" s="2362" t="n"/>
      <c r="BC602" s="2362" t="n"/>
      <c r="BD602" s="2362" t="n"/>
      <c r="BE602" s="2362" t="n"/>
    </row>
    <row customFormat="1" customHeight="1" ht="36" r="603" s="2437" spans="1:57">
      <c r="A603" s="2408" t="n"/>
      <c r="B603" s="64" t="n"/>
      <c r="C603" s="2387" t="s">
        <v>202</v>
      </c>
      <c r="D603" s="92">
        <f>-CFG!E274</f>
        <v/>
      </c>
      <c r="E603" s="92">
        <f>-CFG!F274</f>
        <v/>
      </c>
      <c r="F603" s="92">
        <f>-CFG!G274</f>
        <v/>
      </c>
      <c r="G603" s="92">
        <f>-CFG!H274</f>
        <v/>
      </c>
      <c r="H603" s="92">
        <f>-CFG!I274</f>
        <v/>
      </c>
      <c r="I603" s="92">
        <f>-CFG!J274</f>
        <v/>
      </c>
      <c r="J603" s="92">
        <f>-CFG!K274</f>
        <v/>
      </c>
      <c r="K603" s="92">
        <f>-CFG!L274</f>
        <v/>
      </c>
      <c r="L603" s="92">
        <f>-CFG!M274</f>
        <v/>
      </c>
      <c r="M603" s="92">
        <f>-CFG!N274</f>
        <v/>
      </c>
      <c r="N603" s="92">
        <f>-CFG!O274</f>
        <v/>
      </c>
      <c r="O603" s="92">
        <f>-CFG!P274</f>
        <v/>
      </c>
      <c r="P603" s="93">
        <f>SUM(D603:O603)</f>
        <v/>
      </c>
      <c r="Q603" s="2362" t="n"/>
      <c r="R603" s="2377">
        <f>-CFG!Q274</f>
        <v/>
      </c>
      <c r="S603" s="2377">
        <f>R603-P603</f>
        <v/>
      </c>
      <c r="T603" s="2362" t="n"/>
      <c r="U603" s="2362" t="n"/>
      <c r="V603" s="2362" t="n"/>
      <c r="W603" s="2362" t="n"/>
      <c r="X603" s="2362" t="n"/>
      <c r="Y603" s="2362" t="n"/>
      <c r="Z603" s="2362" t="n"/>
      <c r="AA603" s="2362" t="n"/>
      <c r="AB603" s="2362" t="n"/>
      <c r="AC603" s="2362" t="n"/>
      <c r="AD603" s="2362" t="n"/>
      <c r="AE603" s="2362" t="n"/>
      <c r="AF603" s="2362" t="n"/>
      <c r="AG603" s="2362" t="n"/>
      <c r="AH603" s="2362" t="n"/>
      <c r="AI603" s="2362" t="n"/>
      <c r="AJ603" s="2362" t="n"/>
      <c r="AK603" s="2362" t="n"/>
      <c r="AL603" s="2362" t="n"/>
      <c r="AM603" s="2362" t="n"/>
      <c r="AN603" s="2362" t="n"/>
      <c r="AO603" s="2362" t="n"/>
      <c r="AP603" s="2362" t="n"/>
      <c r="AQ603" s="2362" t="n"/>
      <c r="AR603" s="2362" t="n"/>
      <c r="AS603" s="2362" t="n"/>
      <c r="AT603" s="2362" t="n"/>
      <c r="AU603" s="2362" t="n"/>
      <c r="AV603" s="2362" t="n"/>
      <c r="AW603" s="2362" t="n"/>
      <c r="AX603" s="2362" t="n"/>
      <c r="AY603" s="2362" t="n"/>
      <c r="AZ603" s="2362" t="n"/>
      <c r="BA603" s="2362" t="n"/>
      <c r="BB603" s="2362" t="n"/>
      <c r="BC603" s="2362" t="n"/>
      <c r="BD603" s="2362" t="n"/>
      <c r="BE603" s="2362" t="n"/>
    </row>
    <row customFormat="1" customHeight="1" ht="14.25" r="604" s="2437" spans="1:57">
      <c r="A604" s="2407" t="n"/>
      <c r="B604" s="139" t="n"/>
      <c r="C604" s="2467" t="s">
        <v>216</v>
      </c>
      <c r="D604" s="128">
        <f>D$19*SUM(D$611,D$616)/SUM(D$24,D$27:D$28)</f>
        <v/>
      </c>
      <c r="E604" s="128">
        <f>E$19*SUM(E$611,E$616)/SUM(E$24,E$27:E$28)</f>
        <v/>
      </c>
      <c r="F604" s="128">
        <f>F$19*SUM(F$611,F$616)/SUM(F$24,F$27:F$28)</f>
        <v/>
      </c>
      <c r="G604" s="128">
        <f>G$19*SUM(G$611,G$616)/SUM(G$24,G$27:G$28)</f>
        <v/>
      </c>
      <c r="H604" s="128">
        <f>H$19*SUM(H$611,H$616)/SUM(H$24,H$27:H$28)</f>
        <v/>
      </c>
      <c r="I604" s="128">
        <f>I$19*SUM(I$611,I$616)/SUM(I$24,I$27:I$28)</f>
        <v/>
      </c>
      <c r="J604" s="128">
        <f>J$19*SUM(J$611,J$616)/SUM(J$24,J$27:J$28)</f>
        <v/>
      </c>
      <c r="K604" s="128">
        <f>K$19*SUM(K$611,K$616)/SUM(K$24,K$27:K$28)</f>
        <v/>
      </c>
      <c r="L604" s="128">
        <f>L$19*SUM(L$611,L$616)/SUM(L$24,L$27:L$28)</f>
        <v/>
      </c>
      <c r="M604" s="128">
        <f>M$19*SUM(M$611,M$616)/SUM(M$24,M$27:M$28)</f>
        <v/>
      </c>
      <c r="N604" s="128">
        <f>N$19*SUM(N$611,N$616)/SUM(N$24,N$27:N$28)</f>
        <v/>
      </c>
      <c r="O604" s="128">
        <f>O$19*SUM(O$611,O$616)/SUM(O$24,O$27:O$28)</f>
        <v/>
      </c>
      <c r="P604" s="1060">
        <f>SUM(D604:O604)</f>
        <v/>
      </c>
      <c r="Q604" s="2362" t="n"/>
      <c r="R604" s="2362" t="n"/>
      <c r="S604" s="2362" t="n"/>
      <c r="T604" s="2362" t="n"/>
      <c r="U604" s="2362" t="n"/>
      <c r="V604" s="2362" t="n"/>
      <c r="W604" s="2362" t="n"/>
      <c r="X604" s="2362" t="n"/>
      <c r="Y604" s="2362" t="n"/>
      <c r="Z604" s="2362" t="n"/>
      <c r="AA604" s="2362" t="n"/>
      <c r="AB604" s="2362" t="n"/>
      <c r="AC604" s="2362" t="n"/>
      <c r="AD604" s="2362" t="n"/>
      <c r="AE604" s="2362" t="n"/>
      <c r="AF604" s="2362" t="n"/>
      <c r="AG604" s="2362" t="n"/>
      <c r="AH604" s="2362" t="n"/>
      <c r="AI604" s="2362" t="n"/>
      <c r="AJ604" s="2362" t="n"/>
      <c r="AK604" s="2362" t="n"/>
      <c r="AL604" s="2362" t="n"/>
      <c r="AM604" s="2362" t="n"/>
      <c r="AN604" s="2362" t="n"/>
      <c r="AO604" s="2362" t="n"/>
      <c r="AP604" s="2362" t="n"/>
      <c r="AQ604" s="2362" t="n"/>
      <c r="AR604" s="2362" t="n"/>
      <c r="AS604" s="2362" t="n"/>
      <c r="AT604" s="2362" t="n"/>
      <c r="AU604" s="2362" t="n"/>
      <c r="AV604" s="2362" t="n"/>
      <c r="AW604" s="2362" t="n"/>
      <c r="AX604" s="2362" t="n"/>
      <c r="AY604" s="2362" t="n"/>
      <c r="AZ604" s="2362" t="n"/>
      <c r="BA604" s="2362" t="n"/>
      <c r="BB604" s="2362" t="n"/>
      <c r="BC604" s="2362" t="n"/>
      <c r="BD604" s="2362" t="n"/>
      <c r="BE604" s="2362" t="n"/>
    </row>
    <row customFormat="1" customHeight="1" ht="15" r="605" s="2437" spans="1:57" thickBot="1">
      <c r="A605" s="2408" t="n"/>
      <c r="B605" s="70" t="s">
        <v>217</v>
      </c>
      <c r="C605" s="2406" t="n"/>
      <c r="D605" s="73">
        <f>SUM(D596:D604)</f>
        <v/>
      </c>
      <c r="E605" s="73">
        <f>SUM(E596:E604)</f>
        <v/>
      </c>
      <c r="F605" s="73">
        <f>SUM(F596:F604)</f>
        <v/>
      </c>
      <c r="G605" s="73">
        <f>SUM(G596:G604)</f>
        <v/>
      </c>
      <c r="H605" s="73">
        <f>SUM(H596:H604)</f>
        <v/>
      </c>
      <c r="I605" s="73">
        <f>SUM(I596:I604)</f>
        <v/>
      </c>
      <c r="J605" s="73">
        <f>SUM(J596:J604)</f>
        <v/>
      </c>
      <c r="K605" s="73">
        <f>SUM(K596:K604)</f>
        <v/>
      </c>
      <c r="L605" s="73">
        <f>SUM(L596:L604)</f>
        <v/>
      </c>
      <c r="M605" s="73">
        <f>SUM(M596:M604)</f>
        <v/>
      </c>
      <c r="N605" s="73">
        <f>SUM(N596:N604)</f>
        <v/>
      </c>
      <c r="O605" s="73">
        <f>SUM(O596:O604)</f>
        <v/>
      </c>
      <c r="P605" s="1061">
        <f>SUM(D605:O605)</f>
        <v/>
      </c>
      <c r="Q605" s="2362" t="n"/>
      <c r="R605" s="2377">
        <f>SUM(CFG!Q250:Q254,CFG!Q256:Q260,CFG!Q264:Q266)-SUM(CFG!Q273:Q274)</f>
        <v/>
      </c>
      <c r="S605" s="2377">
        <f>SUM(P595,P605)-P600-R605</f>
        <v/>
      </c>
      <c r="T605" s="2362" t="n"/>
      <c r="U605" s="2362" t="n"/>
      <c r="V605" s="2362" t="n"/>
      <c r="W605" s="2362" t="n"/>
      <c r="X605" s="2362" t="n"/>
      <c r="Y605" s="2362" t="n"/>
      <c r="Z605" s="2362" t="n"/>
      <c r="AA605" s="2362" t="n"/>
      <c r="AB605" s="2362" t="n"/>
      <c r="AC605" s="2362" t="n"/>
      <c r="AD605" s="2362" t="n"/>
      <c r="AE605" s="2362" t="n"/>
      <c r="AF605" s="2362" t="n"/>
      <c r="AG605" s="2362" t="n"/>
      <c r="AH605" s="2362" t="n"/>
      <c r="AI605" s="2362" t="n"/>
      <c r="AJ605" s="2362" t="n"/>
      <c r="AK605" s="2362" t="n"/>
      <c r="AL605" s="2362" t="n"/>
      <c r="AM605" s="2362" t="n"/>
      <c r="AN605" s="2362" t="n"/>
      <c r="AO605" s="2362" t="n"/>
      <c r="AP605" s="2362" t="n"/>
      <c r="AQ605" s="2362" t="n"/>
      <c r="AR605" s="2362" t="n"/>
      <c r="AS605" s="2362" t="n"/>
      <c r="AT605" s="2362" t="n"/>
      <c r="AU605" s="2362" t="n"/>
      <c r="AV605" s="2362" t="n"/>
      <c r="AW605" s="2362" t="n"/>
      <c r="AX605" s="2362" t="n"/>
      <c r="AY605" s="2362" t="n"/>
      <c r="AZ605" s="2362" t="n"/>
      <c r="BA605" s="2362" t="n"/>
      <c r="BB605" s="2362" t="n"/>
      <c r="BC605" s="2362" t="n"/>
      <c r="BD605" s="2362" t="n"/>
      <c r="BE605" s="2362" t="n"/>
    </row>
    <row customFormat="1" customHeight="1" ht="15" r="606" s="2437" spans="1:57" thickBot="1">
      <c r="A606" s="2362" t="n"/>
      <c r="B606" s="1324" t="n"/>
      <c r="C606" s="2449" t="s">
        <v>218</v>
      </c>
      <c r="D606" s="1323" t="n"/>
      <c r="E606" s="1323" t="n"/>
      <c r="F606" s="1323" t="n"/>
      <c r="G606" s="1323" t="n"/>
      <c r="H606" s="1323" t="n"/>
      <c r="I606" s="1323" t="n"/>
      <c r="J606" s="1323" t="n"/>
      <c r="K606" s="1323" t="n"/>
      <c r="L606" s="1323" t="n"/>
      <c r="M606" s="1323" t="n"/>
      <c r="N606" s="1323" t="n"/>
      <c r="O606" s="1323" t="n"/>
      <c r="P606" s="1323" t="n"/>
      <c r="Q606" s="2362" t="n"/>
      <c r="R606" s="2362" t="n"/>
      <c r="S606" s="2362" t="n"/>
      <c r="T606" s="2362" t="n"/>
      <c r="U606" s="2362" t="n"/>
      <c r="V606" s="2362" t="n"/>
      <c r="W606" s="2362" t="n"/>
      <c r="X606" s="2362" t="n"/>
      <c r="Y606" s="2362" t="n"/>
      <c r="Z606" s="2362" t="n"/>
      <c r="AA606" s="2362" t="n"/>
      <c r="AB606" s="2362" t="n"/>
      <c r="AC606" s="2362" t="n"/>
      <c r="AD606" s="2362" t="n"/>
      <c r="AE606" s="2362" t="n"/>
      <c r="AF606" s="2362" t="n"/>
      <c r="AG606" s="2362" t="n"/>
      <c r="AH606" s="2362" t="n"/>
      <c r="AI606" s="2362" t="n"/>
      <c r="AJ606" s="2362" t="n"/>
      <c r="AK606" s="2362" t="n"/>
      <c r="AL606" s="2362" t="n"/>
      <c r="AM606" s="2362" t="n"/>
      <c r="AN606" s="2362" t="n"/>
      <c r="AO606" s="2362" t="n"/>
      <c r="AP606" s="2362" t="n"/>
      <c r="AQ606" s="2362" t="n"/>
      <c r="AR606" s="2362" t="n"/>
      <c r="AS606" s="2362" t="n"/>
      <c r="AT606" s="2362" t="n"/>
      <c r="AU606" s="2362" t="n"/>
      <c r="AV606" s="2362" t="n"/>
      <c r="AW606" s="2362" t="n"/>
      <c r="AX606" s="2362" t="n"/>
      <c r="AY606" s="2362" t="n"/>
      <c r="AZ606" s="2362" t="n"/>
      <c r="BA606" s="2362" t="n"/>
      <c r="BB606" s="2362" t="n"/>
      <c r="BC606" s="2362" t="n"/>
      <c r="BD606" s="2362" t="n"/>
      <c r="BE606" s="2362" t="n"/>
    </row>
    <row customFormat="1" customHeight="1" ht="14.25" r="607" s="2362" spans="1:57">
      <c r="A607" s="2392" t="s">
        <v>203</v>
      </c>
      <c r="B607" s="2395" t="n"/>
      <c r="C607" s="2413" t="s">
        <v>204</v>
      </c>
      <c r="D607" s="1218" t="n">
        <v>1</v>
      </c>
      <c r="E607" s="1218" t="n">
        <v>1</v>
      </c>
      <c r="F607" s="1218" t="n">
        <v>1</v>
      </c>
      <c r="G607" s="1218" t="n">
        <v>1</v>
      </c>
      <c r="H607" s="1218" t="n">
        <v>1</v>
      </c>
      <c r="I607" s="1218" t="n">
        <v>1</v>
      </c>
      <c r="J607" s="1218" t="n">
        <v>1</v>
      </c>
      <c r="K607" s="1218" t="n">
        <v>1</v>
      </c>
      <c r="L607" s="1218" t="n">
        <v>1</v>
      </c>
      <c r="M607" s="1218" t="n">
        <v>1</v>
      </c>
      <c r="N607" s="1218" t="n">
        <v>1</v>
      </c>
      <c r="O607" s="1218" t="n">
        <v>1</v>
      </c>
      <c r="P607" s="1219">
        <f>SUM(D607:O607)</f>
        <v/>
      </c>
      <c r="R607" s="2362" t="n"/>
    </row>
    <row customFormat="1" customHeight="1" ht="14.25" r="608" s="2362" spans="1:57">
      <c r="B608" s="2395" t="n"/>
      <c r="C608" s="2399" t="s">
        <v>14</v>
      </c>
      <c r="D608" s="1218" t="n">
        <v>3</v>
      </c>
      <c r="E608" s="1218" t="n">
        <v>4</v>
      </c>
      <c r="F608" s="1218" t="n">
        <v>4</v>
      </c>
      <c r="G608" s="1218" t="n">
        <v>3</v>
      </c>
      <c r="H608" s="1218" t="n">
        <v>4</v>
      </c>
      <c r="I608" s="1218" t="n">
        <v>4</v>
      </c>
      <c r="J608" s="1218" t="n">
        <v>4</v>
      </c>
      <c r="K608" s="1218" t="n">
        <v>4</v>
      </c>
      <c r="L608" s="1218" t="n">
        <v>4</v>
      </c>
      <c r="M608" s="1218" t="n">
        <v>4</v>
      </c>
      <c r="N608" s="1218" t="n">
        <v>4</v>
      </c>
      <c r="O608" s="1218" t="n">
        <v>4</v>
      </c>
      <c r="P608" s="1219">
        <f>SUM(D608:O608)</f>
        <v/>
      </c>
      <c r="R608" s="2362" t="n"/>
    </row>
    <row customFormat="1" customHeight="1" ht="14.25" r="609" s="2362" spans="1:57">
      <c r="B609" s="2395" t="n"/>
      <c r="C609" s="2399" t="s">
        <v>15</v>
      </c>
      <c r="D609" s="1218" t="n">
        <v>1</v>
      </c>
      <c r="E609" s="1218" t="n">
        <v>1</v>
      </c>
      <c r="F609" s="1218" t="n">
        <v>1</v>
      </c>
      <c r="G609" s="1218" t="n">
        <v>2</v>
      </c>
      <c r="H609" s="1218" t="n">
        <v>2</v>
      </c>
      <c r="I609" s="1218" t="n">
        <v>2</v>
      </c>
      <c r="J609" s="1218" t="n">
        <v>2</v>
      </c>
      <c r="K609" s="1218" t="n">
        <v>3</v>
      </c>
      <c r="L609" s="1218" t="n">
        <v>3</v>
      </c>
      <c r="M609" s="1218" t="n">
        <v>4</v>
      </c>
      <c r="N609" s="1218" t="n">
        <v>4</v>
      </c>
      <c r="O609" s="1218" t="n">
        <v>4</v>
      </c>
      <c r="P609" s="1219">
        <f>SUM(D609:O609)</f>
        <v/>
      </c>
      <c r="R609" s="2362" t="n"/>
    </row>
    <row customFormat="1" customHeight="1" ht="14.25" r="610" s="2362" spans="1:57">
      <c r="B610" s="2395" t="n"/>
      <c r="C610" s="2399" t="s">
        <v>16</v>
      </c>
      <c r="D610" s="1218" t="n">
        <v>0</v>
      </c>
      <c r="E610" s="1218" t="n">
        <v>0</v>
      </c>
      <c r="F610" s="1218" t="n">
        <v>0</v>
      </c>
      <c r="G610" s="1218" t="n">
        <v>0</v>
      </c>
      <c r="H610" s="1218" t="n">
        <v>0</v>
      </c>
      <c r="I610" s="1218" t="n">
        <v>0</v>
      </c>
      <c r="J610" s="1218" t="n">
        <v>0</v>
      </c>
      <c r="K610" s="1218" t="n">
        <v>0</v>
      </c>
      <c r="L610" s="1218" t="n">
        <v>0</v>
      </c>
      <c r="M610" s="1218" t="n">
        <v>0</v>
      </c>
      <c r="N610" s="1218" t="n">
        <v>0</v>
      </c>
      <c r="O610" s="1218" t="n">
        <v>0</v>
      </c>
      <c r="P610" s="1219">
        <f>SUM(D610:O610)</f>
        <v/>
      </c>
    </row>
    <row customFormat="1" customHeight="1" ht="14.25" r="611" s="2362" spans="1:57">
      <c r="B611" s="2395" t="n"/>
      <c r="C611" s="2396" t="s">
        <v>80</v>
      </c>
      <c r="D611" s="192">
        <f>SUM(D607:D610)</f>
        <v/>
      </c>
      <c r="E611" s="192">
        <f>SUM(E607:E610)</f>
        <v/>
      </c>
      <c r="F611" s="192">
        <f>SUM(F607:F610)</f>
        <v/>
      </c>
      <c r="G611" s="192">
        <f>SUM(G607:G610)</f>
        <v/>
      </c>
      <c r="H611" s="192">
        <f>SUM(H607:H610)</f>
        <v/>
      </c>
      <c r="I611" s="192">
        <f>SUM(I607:I610)</f>
        <v/>
      </c>
      <c r="J611" s="192">
        <f>SUM(J607:J610)</f>
        <v/>
      </c>
      <c r="K611" s="192">
        <f>SUM(K607:K610)</f>
        <v/>
      </c>
      <c r="L611" s="192">
        <f>SUM(L607:L610)</f>
        <v/>
      </c>
      <c r="M611" s="192">
        <f>SUM(M607:M610)</f>
        <v/>
      </c>
      <c r="N611" s="192">
        <f>SUM(N607:N610)</f>
        <v/>
      </c>
      <c r="O611" s="1243">
        <f>SUM(O607:O610)</f>
        <v/>
      </c>
      <c r="P611" s="1219">
        <f>SUM(D611:O611)</f>
        <v/>
      </c>
    </row>
    <row customFormat="1" customHeight="1" ht="14.25" r="612" s="2362" spans="1:57">
      <c r="B612" s="2395" t="n"/>
      <c r="C612" s="2396" t="s">
        <v>206</v>
      </c>
      <c r="D612" s="1218" t="n">
        <v>3</v>
      </c>
      <c r="E612" s="1218" t="n">
        <v>3</v>
      </c>
      <c r="F612" s="1218" t="n">
        <v>3</v>
      </c>
      <c r="G612" s="1218" t="n">
        <v>3</v>
      </c>
      <c r="H612" s="1218" t="n">
        <v>3</v>
      </c>
      <c r="I612" s="1218" t="n">
        <v>3</v>
      </c>
      <c r="J612" s="1218" t="n">
        <v>3</v>
      </c>
      <c r="K612" s="1218" t="n">
        <v>3</v>
      </c>
      <c r="L612" s="1218" t="n">
        <v>3</v>
      </c>
      <c r="M612" s="1218" t="n">
        <v>3</v>
      </c>
      <c r="N612" s="1218" t="n">
        <v>3</v>
      </c>
      <c r="O612" s="1218" t="n">
        <v>3</v>
      </c>
      <c r="P612" s="1219">
        <f>SUM(D612:O612)</f>
        <v/>
      </c>
    </row>
    <row customFormat="1" customHeight="1" ht="14.25" r="613" s="2362" spans="1:57">
      <c r="B613" s="2395" t="n"/>
      <c r="C613" s="2397" t="s">
        <v>207</v>
      </c>
      <c r="D613" s="1218">
        <f>D611-D612</f>
        <v/>
      </c>
      <c r="E613" s="1218">
        <f>E611-E612</f>
        <v/>
      </c>
      <c r="F613" s="1218">
        <f>F611-F612</f>
        <v/>
      </c>
      <c r="G613" s="1218">
        <f>G611-G612</f>
        <v/>
      </c>
      <c r="H613" s="1218">
        <f>H611-H612</f>
        <v/>
      </c>
      <c r="I613" s="1218">
        <f>I611-I612</f>
        <v/>
      </c>
      <c r="J613" s="1218">
        <f>J611-J612</f>
        <v/>
      </c>
      <c r="K613" s="1218">
        <f>K611-K612</f>
        <v/>
      </c>
      <c r="L613" s="1218">
        <f>L611-L612</f>
        <v/>
      </c>
      <c r="M613" s="1218">
        <f>M611-M612</f>
        <v/>
      </c>
      <c r="N613" s="1218">
        <f>N611-N612</f>
        <v/>
      </c>
      <c r="O613" s="1218">
        <f>O611-O612</f>
        <v/>
      </c>
      <c r="P613" s="1219">
        <f>SUM(D613:O613)</f>
        <v/>
      </c>
    </row>
    <row customFormat="1" customHeight="1" ht="14.25" r="614" s="2362" spans="1:57">
      <c r="A614" s="2434" t="s">
        <v>157</v>
      </c>
      <c r="B614" s="2395" t="n"/>
      <c r="C614" s="2441" t="s">
        <v>208</v>
      </c>
      <c r="D614" s="1218" t="n">
        <v>8</v>
      </c>
      <c r="E614" s="1218" t="n">
        <v>8</v>
      </c>
      <c r="F614" s="1218" t="n">
        <v>8</v>
      </c>
      <c r="G614" s="1218" t="n">
        <v>8</v>
      </c>
      <c r="H614" s="1218" t="n">
        <v>8</v>
      </c>
      <c r="I614" s="1218" t="n">
        <v>8</v>
      </c>
      <c r="J614" s="1218" t="n">
        <v>8</v>
      </c>
      <c r="K614" s="1218" t="n">
        <v>8</v>
      </c>
      <c r="L614" s="1218" t="n">
        <v>8</v>
      </c>
      <c r="M614" s="1218" t="n">
        <v>8</v>
      </c>
      <c r="N614" s="1218" t="n">
        <v>8</v>
      </c>
      <c r="O614" s="1218" t="n">
        <v>8</v>
      </c>
      <c r="P614" s="1219">
        <f>SUM(D614:O614)</f>
        <v/>
      </c>
      <c r="R614" s="2362" t="n"/>
    </row>
    <row customFormat="1" customHeight="1" ht="14.25" r="615" s="2362" spans="1:57">
      <c r="B615" s="2395" t="n"/>
      <c r="C615" s="2442" t="s">
        <v>209</v>
      </c>
      <c r="D615" s="1218">
        <f>SUMPRODUCT(('FY18 SET'!$B$4:$B67=$A$590)*('FY18 SET'!$F$4:$F67="实际OS")*('FY18 SET'!G$4:G$67))-D614</f>
        <v/>
      </c>
      <c r="E615" s="1218">
        <f>SUMPRODUCT(('FY18 SET'!$B$4:$B67=$A$590)*('FY18 SET'!$F$4:$F67="实际OS")*('FY18 SET'!H$4:H$67))-E614</f>
        <v/>
      </c>
      <c r="F615" s="1218">
        <f>SUMPRODUCT(('FY18 SET'!$B$4:$B67=$A$590)*('FY18 SET'!$F$4:$F67="实际OS")*('FY18 SET'!I$4:I$67))-F614</f>
        <v/>
      </c>
      <c r="G615" s="1218">
        <f>SUMPRODUCT(('FY18 SET'!$B$4:$B67=$A$590)*('FY18 SET'!$F$4:$F67="实际OS")*('FY18 SET'!J$4:J$67))-G614</f>
        <v/>
      </c>
      <c r="H615" s="1218">
        <f>SUMPRODUCT(('FY18 SET'!$B$4:$B67=$A$590)*('FY18 SET'!$F$4:$F67="实际OS")*('FY18 SET'!K$4:K$67))-H614</f>
        <v/>
      </c>
      <c r="I615" s="1218">
        <f>SUMPRODUCT(('FY18 SET'!$B$4:$B67=$A$590)*('FY18 SET'!$F$4:$F67="实际OS")*('FY18 SET'!L$4:L$67))-I614</f>
        <v/>
      </c>
      <c r="J615" s="1218">
        <f>SUMPRODUCT(('FY18 SET'!$B$4:$B67=$A$590)*('FY18 SET'!$F$4:$F67="实际OS")*('FY18 SET'!N$4:N$67))-J614</f>
        <v/>
      </c>
      <c r="K615" s="1218">
        <f>SUMPRODUCT(('FY18 SET'!$B$4:$B67=$A$590)*('FY18 SET'!$F$4:$F67="实际OS")*('FY18 SET'!O$4:O$67))-K614</f>
        <v/>
      </c>
      <c r="L615" s="1218">
        <f>SUMPRODUCT(('FY18 SET'!$B$4:$B67=$A$590)*('FY18 SET'!$F$4:$F67="实际OS")*('FY18 SET'!P$4:P$67))-L614</f>
        <v/>
      </c>
      <c r="M615" s="1218">
        <f>SUMPRODUCT(('FY18 SET'!$B$4:$B67=$A$590)*('FY18 SET'!$F$4:$F67="实际OS")*('FY18 SET'!Q$4:Q$67))-M614</f>
        <v/>
      </c>
      <c r="N615" s="1218">
        <f>SUMPRODUCT(('FY18 SET'!$B$4:$B67=$A$590)*('FY18 SET'!$F$4:$F67="实际OS")*('FY18 SET'!R$4:R$67))-N614</f>
        <v/>
      </c>
      <c r="O615" s="1218">
        <f>SUMPRODUCT(('FY18 SET'!$B$4:$B67=$A$590)*('FY18 SET'!$F$4:$F67="实际OS")*('FY18 SET'!S$4:S$67))-O614</f>
        <v/>
      </c>
      <c r="P615" s="1219">
        <f>SUM(D615:O615)</f>
        <v/>
      </c>
      <c r="R615" s="2362" t="n"/>
    </row>
    <row customFormat="1" customHeight="1" ht="14.25" r="616" s="2362" spans="1:57">
      <c r="B616" s="2395" t="n"/>
      <c r="C616" s="2443" t="s">
        <v>211</v>
      </c>
      <c r="D616" s="1233">
        <f>SUM(D614:D615)</f>
        <v/>
      </c>
      <c r="E616" s="1233">
        <f>SUM(E614:E615)</f>
        <v/>
      </c>
      <c r="F616" s="1233">
        <f>SUM(F614:F615)</f>
        <v/>
      </c>
      <c r="G616" s="1233">
        <f>SUM(G614:G615)</f>
        <v/>
      </c>
      <c r="H616" s="1233">
        <f>SUM(H614:H615)</f>
        <v/>
      </c>
      <c r="I616" s="1233">
        <f>SUM(I614:I615)</f>
        <v/>
      </c>
      <c r="J616" s="1233">
        <f>SUM(J614:J615)</f>
        <v/>
      </c>
      <c r="K616" s="1233">
        <f>SUM(K614:K615)</f>
        <v/>
      </c>
      <c r="L616" s="1233">
        <f>SUM(L614:L615)</f>
        <v/>
      </c>
      <c r="M616" s="1233">
        <f>SUM(M614:M615)</f>
        <v/>
      </c>
      <c r="N616" s="1233">
        <f>SUM(N614:N615)</f>
        <v/>
      </c>
      <c r="O616" s="1250">
        <f>SUM(O614:O615)</f>
        <v/>
      </c>
      <c r="P616" s="1219">
        <f>SUM(D616:O616)</f>
        <v/>
      </c>
    </row>
    <row customFormat="1" customHeight="1" ht="14.25" r="617" s="2362" spans="1:57">
      <c r="A617" s="2416" t="s">
        <v>219</v>
      </c>
      <c r="B617" s="2417" t="n"/>
      <c r="C617" s="2444" t="s">
        <v>220</v>
      </c>
      <c r="D617" s="1278">
        <f>SUM(D612,D614)</f>
        <v/>
      </c>
      <c r="E617" s="1270">
        <f>SUM(E612,E614)</f>
        <v/>
      </c>
      <c r="F617" s="1270">
        <f>SUM(F612,F614)</f>
        <v/>
      </c>
      <c r="G617" s="1270">
        <f>SUM(G612,G614)</f>
        <v/>
      </c>
      <c r="H617" s="1270">
        <f>SUM(H612,H614)</f>
        <v/>
      </c>
      <c r="I617" s="1270">
        <f>SUM(I612,I614)</f>
        <v/>
      </c>
      <c r="J617" s="1270">
        <f>SUM(J612,J614)</f>
        <v/>
      </c>
      <c r="K617" s="1270">
        <f>SUM(K612,K614)</f>
        <v/>
      </c>
      <c r="L617" s="1270">
        <f>SUM(L612,L614)</f>
        <v/>
      </c>
      <c r="M617" s="1270">
        <f>SUM(M612,M614)</f>
        <v/>
      </c>
      <c r="N617" s="1270">
        <f>SUM(N612,N614)</f>
        <v/>
      </c>
      <c r="O617" s="1271">
        <f>SUM(O612,O614)</f>
        <v/>
      </c>
      <c r="P617" s="1219">
        <f>SUM(D617:O617)</f>
        <v/>
      </c>
    </row>
    <row customFormat="1" customHeight="1" ht="14.25" r="618" s="2362" spans="1:57">
      <c r="B618" s="2419" t="n"/>
      <c r="C618" s="2446" t="s">
        <v>221</v>
      </c>
      <c r="D618" s="1279">
        <f>SUM(D613,D615)</f>
        <v/>
      </c>
      <c r="E618" s="140">
        <f>SUM(E613,E615)</f>
        <v/>
      </c>
      <c r="F618" s="140">
        <f>SUM(F613,F615)</f>
        <v/>
      </c>
      <c r="G618" s="140">
        <f>SUM(G613,G615)</f>
        <v/>
      </c>
      <c r="H618" s="140">
        <f>SUM(H613,H615)</f>
        <v/>
      </c>
      <c r="I618" s="140">
        <f>SUM(I613,I615)</f>
        <v/>
      </c>
      <c r="J618" s="140">
        <f>SUM(J613,J615)</f>
        <v/>
      </c>
      <c r="K618" s="140">
        <f>SUM(K613,K615)</f>
        <v/>
      </c>
      <c r="L618" s="140">
        <f>SUM(L613,L615)</f>
        <v/>
      </c>
      <c r="M618" s="140">
        <f>SUM(M613,M615)</f>
        <v/>
      </c>
      <c r="N618" s="140">
        <f>SUM(N613,N615)</f>
        <v/>
      </c>
      <c r="O618" s="1273">
        <f>SUM(O613,O615)</f>
        <v/>
      </c>
      <c r="P618" s="1219">
        <f>SUM(D618:O618)</f>
        <v/>
      </c>
    </row>
    <row customFormat="1" customHeight="1" ht="14.25" r="619" s="2362" spans="1:57">
      <c r="B619" s="1274" t="n"/>
      <c r="C619" s="2447" t="s">
        <v>222</v>
      </c>
      <c r="D619" s="1280">
        <f>SUM(D617:D618)</f>
        <v/>
      </c>
      <c r="E619" s="1276">
        <f>SUM(E617:E618)</f>
        <v/>
      </c>
      <c r="F619" s="1276">
        <f>SUM(F617:F618)</f>
        <v/>
      </c>
      <c r="G619" s="1276">
        <f>SUM(G617:G618)</f>
        <v/>
      </c>
      <c r="H619" s="1276">
        <f>SUM(H617:H618)</f>
        <v/>
      </c>
      <c r="I619" s="1276">
        <f>SUM(I617:I618)</f>
        <v/>
      </c>
      <c r="J619" s="1276">
        <f>SUM(J617:J618)</f>
        <v/>
      </c>
      <c r="K619" s="1276">
        <f>SUM(K617:K618)</f>
        <v/>
      </c>
      <c r="L619" s="1276">
        <f>SUM(L617:L618)</f>
        <v/>
      </c>
      <c r="M619" s="1276">
        <f>SUM(M617:M618)</f>
        <v/>
      </c>
      <c r="N619" s="1276">
        <f>SUM(N617:N618)</f>
        <v/>
      </c>
      <c r="O619" s="1277">
        <f>SUM(O617:O618)</f>
        <v/>
      </c>
      <c r="P619" s="1219">
        <f>SUM(D619:O619)</f>
        <v/>
      </c>
    </row>
    <row customFormat="1" r="620" s="2362" spans="1:57">
      <c r="B620" s="1324" t="n"/>
      <c r="D620" s="2402" t="n"/>
      <c r="E620" s="2377" t="n"/>
    </row>
    <row r="621" spans="1:57">
      <c r="D621" s="2402" t="n"/>
      <c r="E621" s="2377" t="n"/>
    </row>
    <row r="622" spans="1:57">
      <c r="A622" s="2468" t="n">
        <v>12273</v>
      </c>
      <c r="B622" s="2469" t="n">
        <v>2.3</v>
      </c>
      <c r="C622" s="2470" t="s">
        <v>204</v>
      </c>
      <c r="D622" s="2471">
        <f>(CFG!E148-D628*D623-D629*D624)/2</f>
        <v/>
      </c>
      <c r="E622" s="2471">
        <f>(CFG!F148-E628*E623-E629*E624)/2</f>
        <v/>
      </c>
      <c r="F622" s="2471">
        <f>(CFG!G148-F628*F623-F629*F624)/2</f>
        <v/>
      </c>
      <c r="G622" s="2471">
        <f>(CFG!H148-G628*G623-G629*G624)/2</f>
        <v/>
      </c>
      <c r="H622" s="2471">
        <f>(CFG!I148-H628*H623-H629*H624)/2</f>
        <v/>
      </c>
      <c r="I622" s="2471">
        <f>(CFG!J148-I628*I623-I629*I624)/2</f>
        <v/>
      </c>
      <c r="J622" s="2471">
        <f>(CFG!K148-J628*J623-J629*J624)/2</f>
        <v/>
      </c>
      <c r="K622" s="2471">
        <f>(CFG!L148-K628*K623-K629*K624)/2</f>
        <v/>
      </c>
      <c r="L622" s="2471">
        <f>(CFG!M148-L628*L623-L629*L624)/2</f>
        <v/>
      </c>
      <c r="M622" s="2471">
        <f>(CFG!N148-M628*M623-M629*M624)/2</f>
        <v/>
      </c>
      <c r="N622" s="2471">
        <f>(CFG!O148-N628*N623-N629*N624)/2</f>
        <v/>
      </c>
      <c r="O622" s="2471">
        <f>(CFG!P148-O628*O623-O629*O624)/2</f>
        <v/>
      </c>
    </row>
    <row r="623" spans="1:57">
      <c r="A623" s="2472" t="n"/>
      <c r="B623" s="2469" t="n">
        <v>1.6</v>
      </c>
      <c r="C623" s="2470" t="s">
        <v>14</v>
      </c>
      <c r="D623" s="2471" t="n">
        <v>31000</v>
      </c>
      <c r="E623" s="2471" t="n">
        <v>31000</v>
      </c>
      <c r="F623" s="2471" t="n">
        <v>31000</v>
      </c>
      <c r="G623" s="2471" t="n">
        <v>31000</v>
      </c>
      <c r="H623" s="2471" t="n">
        <v>31000</v>
      </c>
      <c r="I623" s="2471" t="n">
        <v>31000</v>
      </c>
      <c r="J623" s="2471" t="n">
        <v>31000</v>
      </c>
      <c r="K623" s="2471" t="n">
        <v>31000</v>
      </c>
      <c r="L623" s="2471" t="n">
        <v>31000</v>
      </c>
      <c r="M623" s="2471" t="n">
        <v>31000</v>
      </c>
      <c r="N623" s="2471" t="n">
        <v>31000</v>
      </c>
      <c r="O623" s="2471" t="n">
        <v>31000</v>
      </c>
    </row>
    <row r="624" spans="1:57">
      <c r="A624" s="2472" t="n"/>
      <c r="B624" s="2469" t="n">
        <v>1.2</v>
      </c>
      <c r="C624" s="2470" t="s">
        <v>15</v>
      </c>
      <c r="D624" s="2471" t="n">
        <v>22608.3645</v>
      </c>
      <c r="E624" s="2471" t="n">
        <v>22608.3645</v>
      </c>
      <c r="F624" s="2471" t="n">
        <v>22608.3645</v>
      </c>
      <c r="G624" s="2471" t="n">
        <v>22608.3645</v>
      </c>
      <c r="H624" s="2471" t="n">
        <v>22608.3645</v>
      </c>
      <c r="I624" s="2471" t="n">
        <v>22608.3645</v>
      </c>
      <c r="J624" s="2471" t="n">
        <v>22608.3645</v>
      </c>
      <c r="K624" s="2471" t="n">
        <v>22608.3645</v>
      </c>
      <c r="L624" s="2471" t="n">
        <v>22608.3645</v>
      </c>
      <c r="M624" s="2471" t="n">
        <v>22608.3645</v>
      </c>
      <c r="N624" s="2471" t="n">
        <v>22608.3645</v>
      </c>
      <c r="O624" s="2471" t="n">
        <v>22608.3645</v>
      </c>
    </row>
    <row r="625" spans="1:57">
      <c r="A625" s="2472" t="n"/>
      <c r="B625" s="2469" t="n">
        <v>1</v>
      </c>
      <c r="C625" s="2470" t="s">
        <v>16</v>
      </c>
      <c r="D625" s="2471" t="n"/>
      <c r="E625" s="2471" t="n"/>
      <c r="F625" s="2471" t="n"/>
      <c r="G625" s="2471" t="n"/>
      <c r="H625" s="2471" t="n"/>
      <c r="I625" s="2471" t="n"/>
      <c r="J625" s="2471" t="n"/>
      <c r="K625" s="2471" t="n"/>
      <c r="L625" s="2471" t="n"/>
      <c r="M625" s="2471" t="n"/>
      <c r="N625" s="2471" t="n"/>
      <c r="O625" s="2471" t="n"/>
    </row>
    <row r="626" spans="1:57">
      <c r="A626" s="2472" t="n"/>
      <c r="B626" s="1212" t="n"/>
      <c r="C626" s="2473" t="s">
        <v>185</v>
      </c>
      <c r="D626" s="2471">
        <f>D622*D627+D623*D628+D624*D629-CFG!E148</f>
        <v/>
      </c>
      <c r="E626" s="2471">
        <f>E622*E627+E623*E628+E624*E629-CFG!F148</f>
        <v/>
      </c>
      <c r="F626" s="2471">
        <f>F622*F627+F623*F628+F624*F629-CFG!G148</f>
        <v/>
      </c>
      <c r="G626" s="2471">
        <f>G622*G627+G623*G628+G624*G629-CFG!H148</f>
        <v/>
      </c>
      <c r="H626" s="2471">
        <f>H622*H627+H623*H628+H624*H629-CFG!I148</f>
        <v/>
      </c>
      <c r="I626" s="2471">
        <f>I622*I627+I623*I628+I624*I629-CFG!J148</f>
        <v/>
      </c>
      <c r="J626" s="2471">
        <f>J622*J627+J623*J628+J624*J629-CFG!K148</f>
        <v/>
      </c>
      <c r="K626" s="2471">
        <f>K622*K627+K623*K628+K624*K629-CFG!L148</f>
        <v/>
      </c>
      <c r="L626" s="2471">
        <f>L622*L627+L623*L628+L624*L629-CFG!M148</f>
        <v/>
      </c>
      <c r="M626" s="2471">
        <f>M622*M627+M623*M628+M624*M629-CFG!N148</f>
        <v/>
      </c>
      <c r="N626" s="2471">
        <f>N622*N627+N623*N628+N624*N629-CFG!O148</f>
        <v/>
      </c>
      <c r="O626" s="2471">
        <f>O622*O627+O623*O628+O624*O629-CFG!P148</f>
        <v/>
      </c>
    </row>
    <row r="627" spans="1:57">
      <c r="A627" s="2474" t="s">
        <v>237</v>
      </c>
      <c r="B627" s="1212" t="n"/>
      <c r="C627" s="2470" t="s">
        <v>204</v>
      </c>
      <c r="D627" s="2475" t="n">
        <v>2</v>
      </c>
      <c r="E627" s="2475" t="n">
        <v>2</v>
      </c>
      <c r="F627" s="2475" t="n">
        <v>2</v>
      </c>
      <c r="G627" s="2475" t="n">
        <v>2</v>
      </c>
      <c r="H627" s="2475" t="n">
        <v>2</v>
      </c>
      <c r="I627" s="2475" t="n">
        <v>2</v>
      </c>
      <c r="J627" s="2475" t="n">
        <v>2</v>
      </c>
      <c r="K627" s="2475" t="n">
        <v>2</v>
      </c>
      <c r="L627" s="2475" t="n">
        <v>2</v>
      </c>
      <c r="M627" s="2475" t="n">
        <v>2</v>
      </c>
      <c r="N627" s="2475" t="n">
        <v>2</v>
      </c>
      <c r="O627" s="2475" t="n">
        <v>2</v>
      </c>
    </row>
    <row r="628" spans="1:57">
      <c r="B628" s="1212" t="n"/>
      <c r="C628" s="2470" t="s">
        <v>14</v>
      </c>
      <c r="D628" s="2475" t="n">
        <v>2</v>
      </c>
      <c r="E628" s="2475" t="n">
        <v>2</v>
      </c>
      <c r="F628" s="2475" t="n">
        <v>2</v>
      </c>
      <c r="G628" s="2475" t="n">
        <v>2</v>
      </c>
      <c r="H628" s="2475" t="n">
        <v>1</v>
      </c>
      <c r="I628" s="2475" t="n">
        <v>0</v>
      </c>
      <c r="J628" s="2475" t="n">
        <v>0</v>
      </c>
      <c r="K628" s="2475" t="n">
        <v>0</v>
      </c>
      <c r="L628" s="2475" t="n">
        <v>0</v>
      </c>
      <c r="M628" s="2475" t="n">
        <v>0</v>
      </c>
      <c r="N628" s="2475" t="n">
        <v>0</v>
      </c>
      <c r="O628" s="2475" t="n">
        <v>0</v>
      </c>
    </row>
    <row r="629" spans="1:57">
      <c r="B629" s="1212" t="n"/>
      <c r="C629" s="2470" t="s">
        <v>15</v>
      </c>
      <c r="D629" s="2475" t="n">
        <v>1</v>
      </c>
      <c r="E629" s="2475" t="n">
        <v>1</v>
      </c>
      <c r="F629" s="2475" t="n">
        <v>1</v>
      </c>
      <c r="G629" s="2475" t="n">
        <v>1</v>
      </c>
      <c r="H629" s="2475" t="n">
        <v>1</v>
      </c>
      <c r="I629" s="2475" t="n">
        <v>1</v>
      </c>
      <c r="J629" s="2475" t="n">
        <v>1</v>
      </c>
      <c r="K629" s="2475" t="n">
        <v>1</v>
      </c>
      <c r="L629" s="2475" t="n">
        <v>1</v>
      </c>
      <c r="M629" s="2475" t="n">
        <v>1</v>
      </c>
      <c r="N629" s="2475" t="n">
        <v>1</v>
      </c>
      <c r="O629" s="2475" t="n">
        <v>1</v>
      </c>
    </row>
    <row r="630" spans="1:57">
      <c r="B630" s="1212" t="n"/>
      <c r="C630" s="2470" t="s">
        <v>16</v>
      </c>
      <c r="D630" s="2476" t="n"/>
      <c r="E630" s="2476" t="n"/>
      <c r="F630" s="2476" t="n"/>
      <c r="G630" s="2476" t="n"/>
      <c r="H630" s="2476" t="n"/>
      <c r="I630" s="2476" t="n"/>
      <c r="J630" s="2476" t="n"/>
      <c r="K630" s="2476" t="n"/>
      <c r="L630" s="2476" t="n"/>
      <c r="M630" s="2476" t="n"/>
      <c r="N630" s="2476" t="n"/>
      <c r="O630" s="2476" t="n"/>
    </row>
    <row r="631" spans="1:57">
      <c r="A631" s="2477" t="n"/>
      <c r="B631" s="1204" t="n"/>
      <c r="C631" s="2478" t="n"/>
      <c r="D631" s="2428" t="n"/>
      <c r="E631" s="2478" t="n"/>
      <c r="F631" s="2478" t="n"/>
      <c r="G631" s="2478" t="n"/>
      <c r="H631" s="2478" t="n"/>
      <c r="I631" s="2478" t="n"/>
      <c r="J631" s="2478" t="n"/>
      <c r="K631" s="2478" t="n"/>
      <c r="L631" s="2478" t="n"/>
      <c r="M631" s="2478" t="n"/>
      <c r="N631" s="2478" t="n"/>
      <c r="O631" s="2478" t="n"/>
    </row>
    <row customHeight="1" ht="26.25" r="632" s="1843" spans="1:57">
      <c r="A632" s="2479" t="n">
        <v>12272</v>
      </c>
      <c r="B632" s="2480" t="n">
        <v>2.3</v>
      </c>
      <c r="C632" s="2481" t="s">
        <v>204</v>
      </c>
      <c r="D632" s="2471">
        <f>(CFG!E114-D638*D633)/2</f>
        <v/>
      </c>
      <c r="E632" s="2471">
        <f>(CFG!F114-E638*E633)/2</f>
        <v/>
      </c>
      <c r="F632" s="2471">
        <f>(CFG!G114-F638*F633)/2</f>
        <v/>
      </c>
      <c r="G632" s="2471">
        <f>(CFG!H114-G638*G633)/2</f>
        <v/>
      </c>
      <c r="H632" s="2471">
        <f>(CFG!I114-H638*H633)/2</f>
        <v/>
      </c>
      <c r="I632" s="2471">
        <f>(CFG!J114-I638*I633)/2</f>
        <v/>
      </c>
      <c r="J632" s="2471">
        <f>CFG!K114-J638*J633</f>
        <v/>
      </c>
      <c r="K632" s="2471">
        <f>CFG!L114-K638*K633</f>
        <v/>
      </c>
      <c r="L632" s="2471">
        <f>CFG!M114-L638*L633</f>
        <v/>
      </c>
      <c r="M632" s="2471">
        <f>CFG!N114-M638*M633</f>
        <v/>
      </c>
      <c r="N632" s="2471">
        <f>CFG!O114-N638*N633</f>
        <v/>
      </c>
      <c r="O632" s="2471">
        <f>CFG!P114-O638*O633</f>
        <v/>
      </c>
    </row>
    <row r="633" spans="1:57">
      <c r="A633" s="2482" t="n"/>
      <c r="B633" s="2480" t="n">
        <v>1.6</v>
      </c>
      <c r="C633" s="2481" t="s">
        <v>14</v>
      </c>
      <c r="D633" s="2471" t="n">
        <v>31000</v>
      </c>
      <c r="E633" s="2471" t="n">
        <v>31000</v>
      </c>
      <c r="F633" s="2471" t="n">
        <v>31000</v>
      </c>
      <c r="G633" s="2471" t="n">
        <v>31000</v>
      </c>
      <c r="H633" s="2471" t="n">
        <v>31000</v>
      </c>
      <c r="I633" s="2471" t="n">
        <v>31000</v>
      </c>
      <c r="J633" s="2471" t="n">
        <v>31000</v>
      </c>
      <c r="K633" s="2471" t="n">
        <v>31000</v>
      </c>
      <c r="L633" s="2471" t="n">
        <v>31000</v>
      </c>
      <c r="M633" s="2471" t="n">
        <v>31000</v>
      </c>
      <c r="N633" s="2471" t="n">
        <v>31000</v>
      </c>
      <c r="O633" s="2471" t="n">
        <v>31000</v>
      </c>
    </row>
    <row r="634" spans="1:57">
      <c r="A634" s="2482" t="n"/>
      <c r="B634" s="2480" t="n"/>
      <c r="C634" s="2481" t="s">
        <v>15</v>
      </c>
      <c r="D634" s="2483">
        <f>D$175/SUM($B$632*D$647+$B$633*D$648+$B$634*D$649+$B$635*D$650)*$B634</f>
        <v/>
      </c>
      <c r="E634" s="2483">
        <f>E$175/SUM($B$632*E$647+$B$633*E$648+$B$634*E$649+$B$635*E$650)*$B634</f>
        <v/>
      </c>
      <c r="F634" s="2483">
        <f>F$175/SUM($B$632*F$647+$B$633*F$648+$B$634*F$649+$B$635*F$650)*$B634</f>
        <v/>
      </c>
      <c r="G634" s="2483">
        <f>G$175/SUM($B$632*G$647+$B$633*G$648+$B$634*G$649+$B$635*G$650)*$B634</f>
        <v/>
      </c>
      <c r="H634" s="2483">
        <f>H$175/SUM($B$632*H$647+$B$633*H$648+$B$634*H$649+$B$635*H$650)*$B634</f>
        <v/>
      </c>
      <c r="I634" s="2483">
        <f>I$175/SUM($B$632*I$647+$B$633*I$648+$B$634*I$649+$B$635*I$650)*$B634</f>
        <v/>
      </c>
      <c r="J634" s="2483">
        <f>J$175/SUM($B$632*J$647+$B$633*J$648+$B$634*J$649+$B$635*J$650)*$B634</f>
        <v/>
      </c>
      <c r="K634" s="2483">
        <f>K$175/SUM($B$632*K$647+$B$633*K$648+$B$634*K$649+$B$635*K$650)*$B634</f>
        <v/>
      </c>
      <c r="L634" s="2483">
        <f>L$175/SUM($B$632*L$647+$B$633*L$648+$B$634*L$649+$B$635*L$650)*$B634</f>
        <v/>
      </c>
      <c r="M634" s="2483">
        <f>M$175/SUM($B$632*M$647+$B$633*M$648+$B$634*M$649+$B$635*M$650)*$B634</f>
        <v/>
      </c>
      <c r="N634" s="2483">
        <f>N$175/SUM($B$632*N$647+$B$633*N$648+$B$634*N$649+$B$635*N$650)*$B634</f>
        <v/>
      </c>
      <c r="O634" s="2483">
        <f>O$175/SUM($B$632*O$647+$B$633*O$648+$B$634*O$649+$B$635*O$650)*$B634</f>
        <v/>
      </c>
    </row>
    <row r="635" spans="1:57">
      <c r="A635" s="2482" t="n"/>
      <c r="B635" s="2480" t="n"/>
      <c r="C635" s="2481" t="s">
        <v>16</v>
      </c>
      <c r="D635" s="2483">
        <f>D$175/SUM($B$632*D$647+$B$633*D$648+$B$634*D$649+$B$635*D$650)*$B635</f>
        <v/>
      </c>
      <c r="E635" s="2483">
        <f>E$175/SUM($B$632*E$647+$B$633*E$648+$B$634*E$649+$B$635*E$650)*$B635</f>
        <v/>
      </c>
      <c r="F635" s="2483">
        <f>F$175/SUM($B$632*F$647+$B$633*F$648+$B$634*F$649+$B$635*F$650)*$B635</f>
        <v/>
      </c>
      <c r="G635" s="2483">
        <f>G$175/SUM($B$632*G$647+$B$633*G$648+$B$634*G$649+$B$635*G$650)*$B635</f>
        <v/>
      </c>
      <c r="H635" s="2483">
        <f>H$175/SUM($B$632*H$647+$B$633*H$648+$B$634*H$649+$B$635*H$650)*$B635</f>
        <v/>
      </c>
      <c r="I635" s="2483">
        <f>I$175/SUM($B$632*I$647+$B$633*I$648+$B$634*I$649+$B$635*I$650)*$B635</f>
        <v/>
      </c>
      <c r="J635" s="2483">
        <f>J$175/SUM($B$632*J$647+$B$633*J$648+$B$634*J$649+$B$635*J$650)*$B635</f>
        <v/>
      </c>
      <c r="K635" s="2483">
        <f>K$175/SUM($B$632*K$647+$B$633*K$648+$B$634*K$649+$B$635*K$650)*$B635</f>
        <v/>
      </c>
      <c r="L635" s="2483">
        <f>L$175/SUM($B$632*L$647+$B$633*L$648+$B$634*L$649+$B$635*L$650)*$B635</f>
        <v/>
      </c>
      <c r="M635" s="2483">
        <f>M$175/SUM($B$632*M$647+$B$633*M$648+$B$634*M$649+$B$635*M$650)*$B635</f>
        <v/>
      </c>
      <c r="N635" s="2483">
        <f>N$175/SUM($B$632*N$647+$B$633*N$648+$B$634*N$649+$B$635*N$650)*$B635</f>
        <v/>
      </c>
      <c r="O635" s="2483">
        <f>O$175/SUM($B$632*O$647+$B$633*O$648+$B$634*O$649+$B$635*O$650)*$B635</f>
        <v/>
      </c>
    </row>
    <row r="636" spans="1:57">
      <c r="A636" s="2482" t="n"/>
      <c r="B636" s="1257" t="n"/>
      <c r="C636" s="2484" t="s">
        <v>185</v>
      </c>
      <c r="D636" s="2485">
        <f>D632*D637+D633*D638-CFG!E114</f>
        <v/>
      </c>
      <c r="E636" s="2485">
        <f>E632*E637+E633*E638-CFG!F114</f>
        <v/>
      </c>
      <c r="F636" s="2485">
        <f>F632*F637+F633*F638-CFG!G114</f>
        <v/>
      </c>
      <c r="G636" s="2485">
        <f>G632*G637+G633*G638-CFG!H114</f>
        <v/>
      </c>
      <c r="H636" s="2485">
        <f>H632*H637+H633*H638-CFG!I114</f>
        <v/>
      </c>
      <c r="I636" s="2485">
        <f>I632*I637+I633*I638-CFG!J114</f>
        <v/>
      </c>
      <c r="J636" s="2485">
        <f>J632*J637+J633*J638-CFG!K114</f>
        <v/>
      </c>
      <c r="K636" s="2485">
        <f>K632*K637+K633*K638-CFG!L114</f>
        <v/>
      </c>
      <c r="L636" s="2485">
        <f>L632*L637+L633*L638-CFG!M114</f>
        <v/>
      </c>
      <c r="M636" s="2485">
        <f>M632*M637+M633*M638-CFG!N114</f>
        <v/>
      </c>
      <c r="N636" s="2485">
        <f>N632*N637+N633*N638-CFG!O114</f>
        <v/>
      </c>
      <c r="O636" s="2485">
        <f>O632*O637+O633*O638-CFG!P114</f>
        <v/>
      </c>
    </row>
    <row r="637" spans="1:57">
      <c r="A637" s="2486" t="s">
        <v>237</v>
      </c>
      <c r="B637" s="1257" t="n"/>
      <c r="C637" s="2481" t="s">
        <v>204</v>
      </c>
      <c r="D637" s="2487" t="n">
        <v>2</v>
      </c>
      <c r="E637" s="2487" t="n">
        <v>2</v>
      </c>
      <c r="F637" s="2487" t="n">
        <v>2</v>
      </c>
      <c r="G637" s="2487" t="n">
        <v>2</v>
      </c>
      <c r="H637" s="2487" t="n">
        <v>2</v>
      </c>
      <c r="I637" s="2487" t="n">
        <v>2</v>
      </c>
      <c r="J637" s="2487" t="n">
        <v>1</v>
      </c>
      <c r="K637" s="2487" t="n">
        <v>1</v>
      </c>
      <c r="L637" s="2487" t="n">
        <v>1</v>
      </c>
      <c r="M637" s="2487" t="n">
        <v>1</v>
      </c>
      <c r="N637" s="2487" t="n">
        <v>1</v>
      </c>
      <c r="O637" s="2487" t="n">
        <v>1</v>
      </c>
    </row>
    <row r="638" spans="1:57">
      <c r="B638" s="1257" t="n"/>
      <c r="C638" s="2481" t="s">
        <v>14</v>
      </c>
      <c r="D638" s="2487" t="n">
        <v>1</v>
      </c>
      <c r="E638" s="2487" t="n">
        <v>2</v>
      </c>
      <c r="F638" s="2487" t="n">
        <v>2</v>
      </c>
      <c r="G638" s="2487" t="n">
        <v>2</v>
      </c>
      <c r="H638" s="2487" t="n">
        <v>2</v>
      </c>
      <c r="I638" s="2487" t="n">
        <v>2</v>
      </c>
      <c r="J638" s="2487" t="n">
        <v>2</v>
      </c>
      <c r="K638" s="2487" t="n">
        <v>2</v>
      </c>
      <c r="L638" s="2487" t="n">
        <v>2</v>
      </c>
      <c r="M638" s="2487" t="n">
        <v>2</v>
      </c>
      <c r="N638" s="2487" t="n">
        <v>2</v>
      </c>
      <c r="O638" s="2487" t="n">
        <v>2</v>
      </c>
    </row>
    <row r="639" spans="1:57">
      <c r="B639" s="1257" t="n"/>
      <c r="C639" s="2481" t="s">
        <v>15</v>
      </c>
      <c r="D639" s="2485" t="n"/>
      <c r="E639" s="2485" t="n"/>
      <c r="F639" s="2485" t="n"/>
      <c r="G639" s="2485" t="n"/>
      <c r="H639" s="2485" t="n"/>
      <c r="I639" s="2485" t="n"/>
      <c r="J639" s="2485" t="n"/>
      <c r="K639" s="2485" t="n"/>
      <c r="L639" s="2485" t="n"/>
      <c r="M639" s="2485" t="n"/>
      <c r="N639" s="2485" t="n"/>
      <c r="O639" s="2485" t="n"/>
    </row>
    <row r="640" spans="1:57">
      <c r="B640" s="1257" t="n"/>
      <c r="C640" s="2481" t="s">
        <v>16</v>
      </c>
      <c r="D640" s="2485" t="n"/>
      <c r="E640" s="2485" t="n"/>
      <c r="F640" s="2485" t="n"/>
      <c r="G640" s="2485" t="n"/>
      <c r="H640" s="2485" t="n"/>
      <c r="I640" s="2485" t="n"/>
      <c r="J640" s="2485" t="n"/>
      <c r="K640" s="2485" t="n"/>
      <c r="L640" s="2485" t="n"/>
      <c r="M640" s="2485" t="n"/>
      <c r="N640" s="2485" t="n"/>
      <c r="O640" s="2485" t="n"/>
    </row>
    <row r="641" spans="1:57">
      <c r="A641" s="2477" t="n"/>
      <c r="B641" s="1204" t="n"/>
      <c r="C641" s="2478" t="n"/>
      <c r="D641" s="2428" t="n"/>
      <c r="E641" s="2478" t="n"/>
      <c r="F641" s="2478" t="n"/>
      <c r="G641" s="2478" t="n"/>
      <c r="H641" s="2478" t="n"/>
      <c r="I641" s="2478" t="n"/>
      <c r="J641" s="2478" t="n"/>
      <c r="K641" s="2478" t="n"/>
      <c r="L641" s="2478" t="n"/>
      <c r="M641" s="2478" t="n"/>
      <c r="N641" s="2478" t="n"/>
      <c r="O641" s="2478" t="n"/>
    </row>
    <row customHeight="1" ht="26.25" r="642" s="1843" spans="1:57">
      <c r="A642" s="2488" t="n">
        <v>12277</v>
      </c>
      <c r="B642" s="2469" t="n">
        <v>2.3</v>
      </c>
      <c r="C642" s="2470" t="s">
        <v>204</v>
      </c>
      <c r="D642" s="2471">
        <f>(CFG!E216-D648*' SET Cost(staf+OS)'!D643)</f>
        <v/>
      </c>
      <c r="E642" s="2471">
        <f>(CFG!F216-E648*' SET Cost(staf+OS)'!E643)</f>
        <v/>
      </c>
      <c r="F642" s="2471">
        <f>(CFG!G216-F648*' SET Cost(staf+OS)'!F643)</f>
        <v/>
      </c>
      <c r="G642" s="2471">
        <f>(CFG!H216-G648*' SET Cost(staf+OS)'!G643)</f>
        <v/>
      </c>
      <c r="H642" s="2471">
        <f>(CFG!I216-H648*' SET Cost(staf+OS)'!H643)</f>
        <v/>
      </c>
      <c r="I642" s="2471">
        <f>(CFG!J216-I648*' SET Cost(staf+OS)'!I643)</f>
        <v/>
      </c>
      <c r="J642" s="2471">
        <f>(CFG!K216-J648*' SET Cost(staf+OS)'!J643)</f>
        <v/>
      </c>
      <c r="K642" s="2471">
        <f>(CFG!L216-K648*' SET Cost(staf+OS)'!K643)</f>
        <v/>
      </c>
      <c r="L642" s="2471">
        <f>(CFG!M216-L648*' SET Cost(staf+OS)'!L643)</f>
        <v/>
      </c>
      <c r="M642" s="2471">
        <f>(CFG!N216-M648*' SET Cost(staf+OS)'!M643)</f>
        <v/>
      </c>
      <c r="N642" s="2471">
        <f>(CFG!O216-N648*' SET Cost(staf+OS)'!N643)</f>
        <v/>
      </c>
      <c r="O642" s="2471">
        <f>(CFG!P216-O648*' SET Cost(staf+OS)'!O643)</f>
        <v/>
      </c>
    </row>
    <row r="643" spans="1:57">
      <c r="A643" s="2472" t="n"/>
      <c r="B643" s="2469" t="n">
        <v>1.6</v>
      </c>
      <c r="C643" s="2470" t="s">
        <v>14</v>
      </c>
      <c r="D643" s="2471" t="n">
        <v>31000</v>
      </c>
      <c r="E643" s="2471" t="n">
        <v>31000</v>
      </c>
      <c r="F643" s="2471" t="n">
        <v>31000</v>
      </c>
      <c r="G643" s="2471" t="n">
        <v>31000</v>
      </c>
      <c r="H643" s="2471" t="n">
        <v>31000</v>
      </c>
      <c r="I643" s="2471" t="n">
        <v>31000</v>
      </c>
      <c r="J643" s="2471" t="n">
        <v>31000</v>
      </c>
      <c r="K643" s="2471" t="n">
        <v>31000</v>
      </c>
      <c r="L643" s="2471" t="n">
        <v>31000</v>
      </c>
      <c r="M643" s="2471" t="n">
        <v>31000</v>
      </c>
      <c r="N643" s="2471" t="n">
        <v>31000</v>
      </c>
      <c r="O643" s="2471" t="n">
        <v>31000</v>
      </c>
    </row>
    <row r="644" spans="1:57">
      <c r="A644" s="2472" t="n"/>
      <c r="B644" s="2469" t="n">
        <v>1.2</v>
      </c>
      <c r="C644" s="2470" t="s">
        <v>15</v>
      </c>
      <c r="D644" s="2471" t="n"/>
      <c r="E644" s="2471" t="n"/>
      <c r="F644" s="2471" t="n"/>
      <c r="G644" s="2471" t="n"/>
      <c r="H644" s="2471" t="n"/>
      <c r="I644" s="2471" t="n"/>
      <c r="J644" s="2471" t="n"/>
      <c r="K644" s="2471" t="n"/>
      <c r="L644" s="2471" t="n"/>
      <c r="M644" s="2471" t="n"/>
      <c r="N644" s="2471" t="n"/>
      <c r="O644" s="2471" t="n"/>
    </row>
    <row r="645" spans="1:57">
      <c r="A645" s="2472" t="n"/>
      <c r="B645" s="2469" t="n">
        <v>1</v>
      </c>
      <c r="C645" s="2470" t="s">
        <v>16</v>
      </c>
      <c r="D645" s="2471" t="n"/>
      <c r="E645" s="2471" t="n"/>
      <c r="F645" s="2471" t="n"/>
      <c r="G645" s="2471" t="n"/>
      <c r="H645" s="2471" t="n"/>
      <c r="I645" s="2471" t="n"/>
      <c r="J645" s="2471" t="n"/>
      <c r="K645" s="2471" t="n"/>
      <c r="L645" s="2471" t="n"/>
      <c r="M645" s="2471" t="n"/>
      <c r="N645" s="2471" t="n"/>
      <c r="O645" s="2471" t="n"/>
    </row>
    <row r="646" spans="1:57">
      <c r="A646" s="2472" t="n"/>
      <c r="B646" s="1212" t="n"/>
      <c r="C646" s="2473" t="s">
        <v>185</v>
      </c>
      <c r="D646" s="2476">
        <f>SUM(D642*D647+D643*D648+D644*D649+D645*D650)-D34</f>
        <v/>
      </c>
      <c r="E646" s="2476">
        <f>SUM(E642*E647+E643*E648+E644*E649+E645*E650)-E34</f>
        <v/>
      </c>
      <c r="F646" s="2476">
        <f>SUM(F642*F647+F643*F648+F644*F649+F645*F650)-F34</f>
        <v/>
      </c>
      <c r="G646" s="2476">
        <f>SUM(G642*G647+G643*G648+G644*G649+G645*G650)-G34</f>
        <v/>
      </c>
      <c r="H646" s="2476">
        <f>SUM(H642*H647+H643*H648+H644*H649+H645*H650)-H34</f>
        <v/>
      </c>
      <c r="I646" s="2476">
        <f>SUM(I642*I647+I643*I648+I644*I649+I645*I650)-I34</f>
        <v/>
      </c>
      <c r="J646" s="2476">
        <f>SUM(J642*J647+J643*J648+J644*J649+J645*J650)-J34</f>
        <v/>
      </c>
      <c r="K646" s="2476">
        <f>SUM(K642*K647+K643*K648+K644*K649+K645*K650)-K34</f>
        <v/>
      </c>
      <c r="L646" s="2476">
        <f>SUM(L642*L647+L643*L648+L644*L649+L645*L650)-L34</f>
        <v/>
      </c>
      <c r="M646" s="2476">
        <f>SUM(M642*M647+M643*M648+M644*M649+M645*M650)-M34</f>
        <v/>
      </c>
      <c r="N646" s="2476">
        <f>SUM(N642*N647+N643*N648+N644*N649+N645*N650)-N34</f>
        <v/>
      </c>
      <c r="O646" s="2476">
        <f>SUM(O642*O647+O643*O648+O644*O649+O645*O650)-O34</f>
        <v/>
      </c>
    </row>
    <row r="647" spans="1:57">
      <c r="A647" s="2474" t="s">
        <v>238</v>
      </c>
      <c r="B647" s="1212" t="n"/>
      <c r="C647" s="2470" t="s">
        <v>204</v>
      </c>
      <c r="D647" s="2475" t="n">
        <v>1</v>
      </c>
      <c r="E647" s="2475" t="n">
        <v>1</v>
      </c>
      <c r="F647" s="2475" t="n">
        <v>1</v>
      </c>
      <c r="G647" s="2475" t="n">
        <v>1</v>
      </c>
      <c r="H647" s="2475" t="n">
        <v>1</v>
      </c>
      <c r="I647" s="2475" t="n">
        <v>1</v>
      </c>
      <c r="J647" s="2475" t="n">
        <v>1</v>
      </c>
      <c r="K647" s="2475" t="n">
        <v>1</v>
      </c>
      <c r="L647" s="2475" t="n">
        <v>1</v>
      </c>
      <c r="M647" s="2475" t="n">
        <v>1</v>
      </c>
      <c r="N647" s="2475" t="n">
        <v>1</v>
      </c>
      <c r="O647" s="2475" t="n">
        <v>1</v>
      </c>
    </row>
    <row r="648" spans="1:57">
      <c r="B648" s="1212" t="n"/>
      <c r="C648" s="2470" t="s">
        <v>14</v>
      </c>
      <c r="D648" s="2475" t="n">
        <v>4</v>
      </c>
      <c r="E648" s="2475" t="n">
        <v>4</v>
      </c>
      <c r="F648" s="2475" t="n">
        <v>4</v>
      </c>
      <c r="G648" s="2475" t="n">
        <v>4</v>
      </c>
      <c r="H648" s="2475" t="n">
        <v>4</v>
      </c>
      <c r="I648" s="2475" t="n">
        <v>4</v>
      </c>
      <c r="J648" s="2475" t="n">
        <v>4</v>
      </c>
      <c r="K648" s="2475" t="n">
        <v>4</v>
      </c>
      <c r="L648" s="2475" t="n">
        <v>4</v>
      </c>
      <c r="M648" s="2475" t="n">
        <v>4</v>
      </c>
      <c r="N648" s="2475" t="n">
        <v>4</v>
      </c>
      <c r="O648" s="2475" t="n">
        <v>4</v>
      </c>
    </row>
    <row r="649" spans="1:57">
      <c r="B649" s="1212" t="n"/>
      <c r="C649" s="2470" t="s">
        <v>15</v>
      </c>
      <c r="D649" s="2476" t="n"/>
      <c r="E649" s="2476" t="n"/>
      <c r="F649" s="2476" t="n"/>
      <c r="G649" s="2476" t="n"/>
      <c r="H649" s="2476" t="n"/>
      <c r="I649" s="2476" t="n"/>
      <c r="J649" s="2476" t="n"/>
      <c r="K649" s="2476" t="n"/>
      <c r="L649" s="2476" t="n"/>
      <c r="M649" s="2476" t="n"/>
      <c r="N649" s="2476" t="n"/>
      <c r="O649" s="2476" t="n"/>
    </row>
    <row r="650" spans="1:57">
      <c r="B650" s="1212" t="n"/>
      <c r="C650" s="2470" t="s">
        <v>16</v>
      </c>
      <c r="D650" s="2476" t="n"/>
      <c r="E650" s="2476" t="n"/>
      <c r="F650" s="2476" t="n"/>
      <c r="G650" s="2476" t="n"/>
      <c r="H650" s="2476" t="n"/>
      <c r="I650" s="2476" t="n"/>
      <c r="J650" s="2476" t="n"/>
      <c r="K650" s="2476" t="n"/>
      <c r="L650" s="2476" t="n"/>
      <c r="M650" s="2476" t="n"/>
      <c r="N650" s="2476" t="n"/>
      <c r="O650" s="2476" t="n"/>
    </row>
    <row r="651" spans="1:57">
      <c r="A651" s="2477" t="n"/>
      <c r="B651" s="1204" t="n"/>
      <c r="C651" s="2489" t="n"/>
      <c r="D651" s="2490" t="n"/>
      <c r="E651" s="2490" t="n"/>
      <c r="F651" s="2490" t="n"/>
      <c r="G651" s="2490" t="n"/>
      <c r="H651" s="2490" t="n"/>
      <c r="I651" s="2490" t="n"/>
      <c r="J651" s="2490" t="n"/>
      <c r="K651" s="2490" t="n"/>
      <c r="L651" s="2490" t="n"/>
      <c r="M651" s="2490" t="n"/>
      <c r="N651" s="2490" t="n"/>
      <c r="O651" s="2490" t="n"/>
    </row>
    <row r="652" spans="1:57">
      <c r="A652" s="2491" t="n">
        <v>12276</v>
      </c>
      <c r="B652" s="2492" t="n">
        <v>2.3</v>
      </c>
      <c r="C652" s="2493" t="s">
        <v>204</v>
      </c>
      <c r="D652" s="2494">
        <f>CFG!E182-D653</f>
        <v/>
      </c>
      <c r="E652" s="2494">
        <f>CFG!F182-E653</f>
        <v/>
      </c>
      <c r="F652" s="2494">
        <f>CFG!G182-F653</f>
        <v/>
      </c>
      <c r="G652" s="2494">
        <f>CFG!H182-G653</f>
        <v/>
      </c>
      <c r="H652" s="2494">
        <f>CFG!I182-H653</f>
        <v/>
      </c>
      <c r="I652" s="2494">
        <f>CFG!J182-I653</f>
        <v/>
      </c>
      <c r="J652" s="2494">
        <f>CFG!K182-J653</f>
        <v/>
      </c>
      <c r="K652" s="2494">
        <f>CFG!L182-K653</f>
        <v/>
      </c>
      <c r="L652" s="2494">
        <f>CFG!M182-L653</f>
        <v/>
      </c>
      <c r="M652" s="2494">
        <f>CFG!N182-M653</f>
        <v/>
      </c>
      <c r="N652" s="2494">
        <f>CFG!O182-N653</f>
        <v/>
      </c>
      <c r="O652" s="2494">
        <f>CFG!P182-O653</f>
        <v/>
      </c>
    </row>
    <row r="653" spans="1:57">
      <c r="A653" s="2493" t="n"/>
      <c r="B653" s="2492" t="n">
        <v>1.6</v>
      </c>
      <c r="C653" s="2493" t="s">
        <v>14</v>
      </c>
      <c r="D653" s="2494" t="n">
        <v>31000</v>
      </c>
      <c r="E653" s="2494" t="n">
        <v>31000</v>
      </c>
      <c r="F653" s="2494" t="n">
        <v>31000</v>
      </c>
      <c r="G653" s="2494" t="n">
        <v>31000</v>
      </c>
      <c r="H653" s="2494" t="n">
        <v>31000</v>
      </c>
      <c r="I653" s="2494" t="n">
        <v>31000</v>
      </c>
      <c r="J653" s="2494" t="n">
        <v>31000</v>
      </c>
      <c r="K653" s="2494" t="n">
        <v>31000</v>
      </c>
      <c r="L653" s="2494" t="n">
        <v>31000</v>
      </c>
      <c r="M653" s="2494" t="n">
        <v>31000</v>
      </c>
      <c r="N653" s="2494" t="n">
        <v>31000</v>
      </c>
      <c r="O653" s="2494" t="n">
        <v>31000</v>
      </c>
    </row>
    <row r="654" spans="1:57">
      <c r="A654" s="2493" t="n"/>
      <c r="B654" s="2492" t="n">
        <v>1.2</v>
      </c>
      <c r="C654" s="2493" t="s">
        <v>15</v>
      </c>
      <c r="D654" s="2494" t="n"/>
      <c r="E654" s="2494" t="n"/>
      <c r="F654" s="2494" t="n"/>
      <c r="G654" s="2494" t="n"/>
      <c r="H654" s="2494" t="n"/>
      <c r="I654" s="2494" t="n"/>
      <c r="J654" s="2494" t="n"/>
      <c r="K654" s="2494" t="n"/>
      <c r="L654" s="2494" t="n"/>
      <c r="M654" s="2494" t="n"/>
      <c r="N654" s="2494" t="n"/>
      <c r="O654" s="2494" t="n"/>
    </row>
    <row r="655" spans="1:57">
      <c r="A655" s="2493" t="n"/>
      <c r="B655" s="2492" t="n">
        <v>1</v>
      </c>
      <c r="C655" s="2493" t="s">
        <v>16</v>
      </c>
      <c r="D655" s="2494" t="n"/>
      <c r="E655" s="2494" t="n"/>
      <c r="F655" s="2494" t="n"/>
      <c r="G655" s="2494" t="n"/>
      <c r="H655" s="2494" t="n"/>
      <c r="I655" s="2494" t="n"/>
      <c r="J655" s="2494" t="n"/>
      <c r="K655" s="2494" t="n"/>
      <c r="L655" s="2494" t="n"/>
      <c r="M655" s="2494" t="n"/>
      <c r="N655" s="2494" t="n"/>
      <c r="O655" s="2494" t="n"/>
    </row>
    <row r="656" spans="1:57">
      <c r="A656" s="2493" t="n"/>
      <c r="B656" s="1338" t="n"/>
      <c r="C656" s="2495" t="s">
        <v>185</v>
      </c>
      <c r="D656" s="2496" t="n"/>
      <c r="E656" s="2496" t="n"/>
      <c r="F656" s="2496" t="n"/>
      <c r="G656" s="2496" t="n"/>
      <c r="H656" s="2496" t="n"/>
      <c r="I656" s="2496" t="n"/>
      <c r="J656" s="2496" t="n"/>
      <c r="K656" s="2496" t="n"/>
      <c r="L656" s="2496" t="n"/>
      <c r="M656" s="2496" t="n"/>
      <c r="N656" s="2496" t="n"/>
      <c r="O656" s="2496" t="n"/>
    </row>
    <row customFormat="1" r="658" s="2362" spans="1:57">
      <c r="A658" s="2497" t="n">
        <v>12278</v>
      </c>
      <c r="B658" s="2498" t="n">
        <v>2.3</v>
      </c>
      <c r="C658" s="2499" t="s">
        <v>204</v>
      </c>
      <c r="D658" s="2500">
        <f>CFG!E250-3*' SET Cost(staf+OS)'!D659-' SET Cost(staf+OS)'!D660</f>
        <v/>
      </c>
      <c r="E658" s="2500">
        <f>CFG!F250-4*' SET Cost(staf+OS)'!E659-' SET Cost(staf+OS)'!E660</f>
        <v/>
      </c>
      <c r="F658" s="2500">
        <f>CFG!G250-4*' SET Cost(staf+OS)'!F659-' SET Cost(staf+OS)'!F660</f>
        <v/>
      </c>
      <c r="G658" s="2500">
        <f>CFG!H250-4*' SET Cost(staf+OS)'!G659-2*' SET Cost(staf+OS)'!G660</f>
        <v/>
      </c>
      <c r="H658" s="2500">
        <f>CFG!I250-4*' SET Cost(staf+OS)'!H659-2*' SET Cost(staf+OS)'!H660</f>
        <v/>
      </c>
      <c r="I658" s="2500">
        <f>CFG!J250-4*' SET Cost(staf+OS)'!I659-2*' SET Cost(staf+OS)'!I660</f>
        <v/>
      </c>
      <c r="J658" s="2500">
        <f>CFG!K250-4*' SET Cost(staf+OS)'!J659-3*' SET Cost(staf+OS)'!J660</f>
        <v/>
      </c>
      <c r="K658" s="2500">
        <f>CFG!L250-4*' SET Cost(staf+OS)'!K659-3*' SET Cost(staf+OS)'!K660</f>
        <v/>
      </c>
      <c r="L658" s="2500">
        <f>CFG!M250-4*' SET Cost(staf+OS)'!L659-3*' SET Cost(staf+OS)'!L660</f>
        <v/>
      </c>
      <c r="M658" s="2500">
        <f>CFG!N250-4*' SET Cost(staf+OS)'!M659-4*' SET Cost(staf+OS)'!M660</f>
        <v/>
      </c>
      <c r="N658" s="2500">
        <f>CFG!O250-4*' SET Cost(staf+OS)'!N659-4*' SET Cost(staf+OS)'!N660</f>
        <v/>
      </c>
      <c r="O658" s="2500">
        <f>CFG!P250-4*' SET Cost(staf+OS)'!O659-4*' SET Cost(staf+OS)'!O660</f>
        <v/>
      </c>
    </row>
    <row customFormat="1" r="659" s="2362" spans="1:57">
      <c r="A659" s="2499" t="n"/>
      <c r="B659" s="2498" t="n">
        <v>1.6</v>
      </c>
      <c r="C659" s="2499" t="s">
        <v>14</v>
      </c>
      <c r="D659" s="2500" t="n">
        <v>31000</v>
      </c>
      <c r="E659" s="2500" t="n">
        <v>31000</v>
      </c>
      <c r="F659" s="2500" t="n">
        <v>31000</v>
      </c>
      <c r="G659" s="2500" t="n">
        <v>31000</v>
      </c>
      <c r="H659" s="2500" t="n">
        <v>31000</v>
      </c>
      <c r="I659" s="2500" t="n">
        <v>31000</v>
      </c>
      <c r="J659" s="2500" t="n">
        <v>31000</v>
      </c>
      <c r="K659" s="2500" t="n">
        <v>31000</v>
      </c>
      <c r="L659" s="2500" t="n">
        <v>31000</v>
      </c>
      <c r="M659" s="2500" t="n">
        <v>31000</v>
      </c>
      <c r="N659" s="2500" t="n">
        <v>31000</v>
      </c>
      <c r="O659" s="2500" t="n">
        <v>31000</v>
      </c>
    </row>
    <row customFormat="1" r="660" s="2362" spans="1:57">
      <c r="A660" s="2499" t="n"/>
      <c r="B660" s="2498" t="n">
        <v>1.2</v>
      </c>
      <c r="C660" s="2499" t="s">
        <v>15</v>
      </c>
      <c r="D660" s="2500" t="n">
        <v>23000</v>
      </c>
      <c r="E660" s="2500" t="n">
        <v>23000</v>
      </c>
      <c r="F660" s="2500" t="n">
        <v>23000</v>
      </c>
      <c r="G660" s="2500" t="n">
        <v>23000</v>
      </c>
      <c r="H660" s="2500" t="n">
        <v>23000</v>
      </c>
      <c r="I660" s="2500" t="n">
        <v>23000</v>
      </c>
      <c r="J660" s="2500" t="n">
        <v>23000</v>
      </c>
      <c r="K660" s="2500" t="n">
        <v>23000</v>
      </c>
      <c r="L660" s="2500" t="n">
        <v>23000</v>
      </c>
      <c r="M660" s="2500" t="n">
        <v>23000</v>
      </c>
      <c r="N660" s="2500" t="n">
        <v>23000</v>
      </c>
      <c r="O660" s="2500" t="n">
        <v>23000</v>
      </c>
    </row>
    <row customFormat="1" r="661" s="2362" spans="1:57">
      <c r="A661" s="2499" t="n"/>
      <c r="B661" s="2498" t="n">
        <v>1</v>
      </c>
      <c r="C661" s="2499" t="s">
        <v>16</v>
      </c>
      <c r="D661" s="2500" t="n"/>
      <c r="E661" s="2500" t="n"/>
      <c r="F661" s="2500" t="n"/>
      <c r="G661" s="2500" t="n"/>
      <c r="H661" s="2500" t="n"/>
      <c r="I661" s="2500" t="n"/>
      <c r="J661" s="2500" t="n"/>
      <c r="K661" s="2500" t="n"/>
      <c r="L661" s="2500" t="n"/>
      <c r="M661" s="2500" t="n"/>
      <c r="N661" s="2500" t="n"/>
      <c r="O661" s="2500" t="n"/>
    </row>
    <row customFormat="1" r="662" s="2362" spans="1:57">
      <c r="A662" s="2499" t="n"/>
      <c r="B662" s="1345" t="n"/>
      <c r="C662" s="2501" t="s">
        <v>185</v>
      </c>
      <c r="D662" s="2502" t="n"/>
      <c r="E662" s="2502" t="n"/>
      <c r="F662" s="2502" t="n"/>
      <c r="G662" s="2502" t="n"/>
      <c r="H662" s="2502" t="n"/>
      <c r="I662" s="2502" t="n"/>
      <c r="J662" s="2502" t="n"/>
      <c r="K662" s="2502" t="n"/>
      <c r="L662" s="2502" t="n"/>
      <c r="M662" s="2502" t="n"/>
      <c r="N662" s="2502" t="n"/>
      <c r="O662" s="2502" t="n"/>
    </row>
    <row customFormat="1" r="663" s="2362" spans="1:57">
      <c r="B663" s="1324" t="n"/>
    </row>
    <row r="665" spans="1:57">
      <c r="R665" s="2362" t="n"/>
      <c r="S665" s="2362" t="n"/>
    </row>
    <row customHeight="1" ht="15.75" r="666" s="1843" spans="1:57">
      <c r="A666" s="2457" t="n"/>
      <c r="B666" s="135" t="n"/>
      <c r="C666" s="2371" t="n"/>
      <c r="D666" s="2372" t="n">
        <v>43191</v>
      </c>
      <c r="E666" s="2372" t="n">
        <v>43221</v>
      </c>
      <c r="F666" s="2372" t="n">
        <v>43252</v>
      </c>
      <c r="G666" s="2372" t="n">
        <v>43282</v>
      </c>
      <c r="H666" s="2372" t="n">
        <v>43313</v>
      </c>
      <c r="I666" s="2372" t="n">
        <v>43344</v>
      </c>
      <c r="J666" s="2372" t="n">
        <v>43374</v>
      </c>
      <c r="K666" s="2372" t="n">
        <v>43405</v>
      </c>
      <c r="L666" s="2372" t="n">
        <v>43435</v>
      </c>
      <c r="M666" s="2372" t="n">
        <v>43466</v>
      </c>
      <c r="N666" s="2372" t="n">
        <v>43497</v>
      </c>
      <c r="O666" s="2372" t="n">
        <v>43525</v>
      </c>
      <c r="P666" s="2373" t="s">
        <v>55</v>
      </c>
    </row>
    <row customHeight="1" ht="15.75" r="667" s="1843" spans="1:57">
      <c r="A667" s="2503" t="s">
        <v>185</v>
      </c>
      <c r="B667" s="64" t="n"/>
      <c r="C667" s="2376" t="s">
        <v>187</v>
      </c>
      <c r="D667" s="1381" t="n"/>
      <c r="E667" s="1381" t="n"/>
      <c r="F667" s="1381" t="n"/>
      <c r="G667" s="1381" t="n"/>
      <c r="H667" s="1381" t="n"/>
      <c r="I667" s="1381" t="n"/>
      <c r="J667" s="1381" t="n"/>
      <c r="K667" s="1381" t="n"/>
      <c r="L667" s="1381" t="n"/>
      <c r="M667" s="1381" t="n"/>
      <c r="N667" s="1381" t="n"/>
      <c r="O667" s="1381" t="n"/>
      <c r="P667" s="49">
        <f>SUM(D667:O667)</f>
        <v/>
      </c>
    </row>
    <row customHeight="1" ht="18" r="668" s="1843" spans="1:57">
      <c r="B668" s="66" t="n"/>
      <c r="C668" s="2379" t="s">
        <v>189</v>
      </c>
      <c r="D668" s="1380" t="n"/>
      <c r="E668" s="1380" t="n"/>
      <c r="F668" s="1380" t="n"/>
      <c r="G668" s="1380" t="n"/>
      <c r="H668" s="1380" t="n"/>
      <c r="I668" s="1380" t="n"/>
      <c r="J668" s="1380" t="n"/>
      <c r="K668" s="1380" t="n"/>
      <c r="L668" s="1380" t="n"/>
      <c r="M668" s="1380" t="n"/>
      <c r="N668" s="1380" t="n"/>
      <c r="O668" s="1380" t="n"/>
      <c r="P668" s="46">
        <f>SUM(D668:O668)</f>
        <v/>
      </c>
    </row>
    <row customHeight="1" ht="18" r="669" s="1843" spans="1:57">
      <c r="B669" s="66" t="n"/>
      <c r="C669" s="2379" t="s">
        <v>190</v>
      </c>
      <c r="D669" s="9" t="n"/>
      <c r="E669" s="9" t="n"/>
      <c r="F669" s="9" t="n"/>
      <c r="G669" s="9" t="n"/>
      <c r="H669" s="9" t="n"/>
      <c r="I669" s="9" t="n"/>
      <c r="J669" s="9" t="n"/>
      <c r="K669" s="9" t="n"/>
      <c r="L669" s="9" t="n"/>
      <c r="M669" s="9" t="n"/>
      <c r="N669" s="9" t="n"/>
      <c r="O669" s="9" t="n"/>
      <c r="P669" s="46">
        <f>SUM(D669:O669)</f>
        <v/>
      </c>
    </row>
    <row customHeight="1" ht="18" r="670" s="1843" spans="1:57">
      <c r="B670" s="66" t="n"/>
      <c r="C670" s="2379" t="s">
        <v>191</v>
      </c>
      <c r="D670" s="9" t="n"/>
      <c r="E670" s="9" t="n"/>
      <c r="F670" s="9" t="n"/>
      <c r="G670" s="9" t="n"/>
      <c r="H670" s="9" t="n"/>
      <c r="I670" s="9" t="n"/>
      <c r="J670" s="9" t="n"/>
      <c r="K670" s="9" t="n"/>
      <c r="L670" s="9" t="n"/>
      <c r="M670" s="9" t="n"/>
      <c r="N670" s="9" t="n"/>
      <c r="O670" s="9" t="n"/>
      <c r="P670" s="46">
        <f>SUM(D670:O670)</f>
        <v/>
      </c>
    </row>
    <row customHeight="1" ht="14.25" r="671" s="1843" spans="1:57">
      <c r="B671" s="66" t="n"/>
      <c r="C671" s="2379" t="s">
        <v>192</v>
      </c>
      <c r="D671" s="1380" t="n"/>
      <c r="E671" s="1380" t="n"/>
      <c r="F671" s="1380" t="n"/>
      <c r="G671" s="1380" t="n"/>
      <c r="H671" s="1380" t="n"/>
      <c r="I671" s="1380" t="n"/>
      <c r="J671" s="1380" t="n"/>
      <c r="K671" s="1380" t="n"/>
      <c r="L671" s="1380" t="n"/>
      <c r="M671" s="1380" t="n"/>
      <c r="N671" s="1380" t="n"/>
      <c r="O671" s="1380" t="n"/>
      <c r="P671" s="46">
        <f>SUM(D671:O671)</f>
        <v/>
      </c>
    </row>
    <row customHeight="1" ht="14.25" r="672" s="1843" spans="1:57">
      <c r="B672" s="66" t="n"/>
      <c r="C672" s="2379" t="s">
        <v>213</v>
      </c>
      <c r="D672" s="1380" t="n"/>
      <c r="E672" s="1380" t="n"/>
      <c r="F672" s="1380" t="n"/>
      <c r="G672" s="1380" t="n"/>
      <c r="H672" s="1380" t="n"/>
      <c r="I672" s="1380" t="n"/>
      <c r="J672" s="1380" t="n"/>
      <c r="K672" s="1380" t="n"/>
      <c r="L672" s="1380" t="n"/>
      <c r="M672" s="1380" t="n"/>
      <c r="N672" s="1380" t="n"/>
      <c r="O672" s="1380" t="n"/>
      <c r="P672" s="46">
        <f>SUM(D672:O672)</f>
        <v/>
      </c>
    </row>
    <row customHeight="1" ht="14.25" r="673" s="1843" spans="1:57">
      <c r="B673" s="69" t="n"/>
      <c r="C673" s="2383" t="s">
        <v>195</v>
      </c>
      <c r="D673" s="97" t="n"/>
      <c r="E673" s="97" t="n"/>
      <c r="F673" s="97" t="n"/>
      <c r="G673" s="97" t="n"/>
      <c r="H673" s="97" t="n"/>
      <c r="I673" s="97" t="n"/>
      <c r="J673" s="97" t="n"/>
      <c r="K673" s="97" t="n"/>
      <c r="L673" s="97" t="n"/>
      <c r="M673" s="97" t="n"/>
      <c r="N673" s="97" t="n"/>
      <c r="O673" s="97" t="n"/>
      <c r="P673" s="95">
        <f>SUM(D673:O673)</f>
        <v/>
      </c>
    </row>
    <row customHeight="1" ht="14.25" r="674" s="1843" spans="1:57">
      <c r="B674" s="70" t="s">
        <v>214</v>
      </c>
      <c r="C674" s="2458" t="n"/>
      <c r="D674" s="73">
        <f>SUM(D667:D673)</f>
        <v/>
      </c>
      <c r="E674" s="74">
        <f>SUM(E667:E673)</f>
        <v/>
      </c>
      <c r="F674" s="74">
        <f>SUM(F667:F673)</f>
        <v/>
      </c>
      <c r="G674" s="74">
        <f>SUM(G667:G673)</f>
        <v/>
      </c>
      <c r="H674" s="74">
        <f>SUM(H667:H673)</f>
        <v/>
      </c>
      <c r="I674" s="74">
        <f>SUM(I667:I673)</f>
        <v/>
      </c>
      <c r="J674" s="74">
        <f>SUM(J667:J673)</f>
        <v/>
      </c>
      <c r="K674" s="74">
        <f>SUM(K667:K673)</f>
        <v/>
      </c>
      <c r="L674" s="74">
        <f>SUM(L667:L673)</f>
        <v/>
      </c>
      <c r="M674" s="74">
        <f>SUM(M667:M673)</f>
        <v/>
      </c>
      <c r="N674" s="74">
        <f>SUM(N667:N673)</f>
        <v/>
      </c>
      <c r="O674" s="75">
        <f>SUM(O667:O673)</f>
        <v/>
      </c>
      <c r="P674" s="76">
        <f>SUM(D674:O674)</f>
        <v/>
      </c>
    </row>
    <row customHeight="1" ht="14.25" r="675" s="1843" spans="1:57">
      <c r="B675" s="123" t="n"/>
      <c r="C675" s="2385" t="s">
        <v>161</v>
      </c>
      <c r="D675" s="88" t="n"/>
      <c r="E675" s="88" t="n"/>
      <c r="F675" s="88" t="n"/>
      <c r="G675" s="88" t="n"/>
      <c r="H675" s="88" t="n"/>
      <c r="I675" s="88" t="n"/>
      <c r="J675" s="88" t="n"/>
      <c r="K675" s="88" t="n"/>
      <c r="L675" s="88" t="n"/>
      <c r="M675" s="88" t="n"/>
      <c r="N675" s="88" t="n"/>
      <c r="O675" s="88" t="n"/>
      <c r="P675" s="85">
        <f>SUM(D675:O675)</f>
        <v/>
      </c>
    </row>
    <row customHeight="1" ht="14.25" r="676" s="1843" spans="1:57">
      <c r="B676" s="123" t="n"/>
      <c r="C676" s="2459" t="s">
        <v>215</v>
      </c>
      <c r="D676" s="88" t="n"/>
      <c r="E676" s="88" t="n"/>
      <c r="F676" s="88" t="n"/>
      <c r="G676" s="88" t="n"/>
      <c r="H676" s="88" t="n"/>
      <c r="I676" s="88" t="n"/>
      <c r="J676" s="88" t="n"/>
      <c r="K676" s="88" t="n"/>
      <c r="L676" s="88" t="n"/>
      <c r="M676" s="88" t="n"/>
      <c r="N676" s="88" t="n"/>
      <c r="O676" s="88" t="n"/>
      <c r="P676" s="85">
        <f>SUM(D676:O676)</f>
        <v/>
      </c>
    </row>
    <row customHeight="1" ht="14.25" r="677" s="1843" spans="1:57">
      <c r="B677" s="123" t="n"/>
      <c r="C677" s="2459" t="s">
        <v>197</v>
      </c>
      <c r="D677" s="88" t="n"/>
      <c r="E677" s="88" t="n"/>
      <c r="F677" s="88" t="n"/>
      <c r="G677" s="88" t="n"/>
      <c r="H677" s="88" t="n"/>
      <c r="I677" s="88" t="n"/>
      <c r="J677" s="88" t="n"/>
      <c r="K677" s="88" t="n"/>
      <c r="L677" s="88" t="n"/>
      <c r="M677" s="88" t="n"/>
      <c r="N677" s="88" t="n"/>
      <c r="O677" s="88" t="n"/>
      <c r="P677" s="85">
        <f>SUM(D677:O677)</f>
        <v/>
      </c>
    </row>
    <row customHeight="1" ht="14.25" r="678" s="1843" spans="1:57">
      <c r="B678" s="123" t="n"/>
      <c r="C678" s="2459" t="s">
        <v>198</v>
      </c>
      <c r="D678" s="88" t="n"/>
      <c r="E678" s="88" t="n"/>
      <c r="F678" s="88" t="n"/>
      <c r="G678" s="88" t="n"/>
      <c r="H678" s="88" t="n"/>
      <c r="I678" s="88" t="n"/>
      <c r="J678" s="88" t="n"/>
      <c r="K678" s="88" t="n"/>
      <c r="L678" s="88" t="n"/>
      <c r="M678" s="88" t="n"/>
      <c r="N678" s="88" t="n"/>
      <c r="O678" s="88" t="n"/>
      <c r="P678" s="85">
        <f>SUM(D678:O678)</f>
        <v/>
      </c>
    </row>
    <row customHeight="1" ht="14.25" r="679" s="1843" spans="1:57">
      <c r="B679" s="123" t="n"/>
      <c r="C679" s="2459" t="s">
        <v>199</v>
      </c>
      <c r="D679" s="1298" t="n"/>
      <c r="E679" s="1298" t="n"/>
      <c r="F679" s="1298" t="n"/>
      <c r="G679" s="1298" t="n"/>
      <c r="H679" s="1298" t="n"/>
      <c r="I679" s="1298" t="n"/>
      <c r="J679" s="1298" t="n"/>
      <c r="K679" s="1298" t="n"/>
      <c r="L679" s="1298" t="n"/>
      <c r="M679" s="1298" t="n"/>
      <c r="N679" s="1298" t="n"/>
      <c r="O679" s="1298" t="n"/>
      <c r="P679" s="85">
        <f>SUM(D679:O679)</f>
        <v/>
      </c>
    </row>
    <row customHeight="1" ht="14.25" r="680" s="1843" spans="1:57">
      <c r="B680" s="71" t="n"/>
      <c r="C680" s="2385" t="s">
        <v>200</v>
      </c>
      <c r="D680" s="88" t="n"/>
      <c r="E680" s="88" t="n"/>
      <c r="F680" s="88" t="n"/>
      <c r="G680" s="88" t="n"/>
      <c r="H680" s="88" t="n"/>
      <c r="I680" s="88" t="n"/>
      <c r="J680" s="88" t="n"/>
      <c r="K680" s="88" t="n"/>
      <c r="L680" s="88" t="n"/>
      <c r="M680" s="88" t="n"/>
      <c r="N680" s="88" t="n"/>
      <c r="O680" s="88" t="n"/>
      <c r="P680" s="85">
        <f>SUM(D680:O680)</f>
        <v/>
      </c>
    </row>
    <row customHeight="1" ht="14.25" r="681" s="1843" spans="1:57">
      <c r="B681" s="123" t="n"/>
      <c r="C681" s="2385" t="s">
        <v>201</v>
      </c>
      <c r="D681" s="87" t="n"/>
      <c r="E681" s="87" t="n"/>
      <c r="F681" s="87" t="n"/>
      <c r="G681" s="87" t="n"/>
      <c r="H681" s="87" t="n"/>
      <c r="I681" s="87" t="n"/>
      <c r="J681" s="87" t="n"/>
      <c r="K681" s="87" t="n"/>
      <c r="L681" s="87" t="n"/>
      <c r="M681" s="87" t="n"/>
      <c r="N681" s="87" t="n"/>
      <c r="O681" s="87" t="n"/>
      <c r="P681" s="85">
        <f>SUM(D681:O681)</f>
        <v/>
      </c>
    </row>
    <row customHeight="1" ht="36" r="682" s="1843" spans="1:57">
      <c r="B682" s="71" t="n"/>
      <c r="C682" s="2384" t="s">
        <v>202</v>
      </c>
      <c r="D682" s="88" t="n"/>
      <c r="E682" s="88" t="n"/>
      <c r="F682" s="88" t="n"/>
      <c r="G682" s="88" t="n"/>
      <c r="H682" s="88" t="n"/>
      <c r="I682" s="88" t="n"/>
      <c r="J682" s="88" t="n"/>
      <c r="K682" s="88" t="n"/>
      <c r="L682" s="88" t="n"/>
      <c r="M682" s="88" t="n"/>
      <c r="N682" s="88" t="n"/>
      <c r="O682" s="88" t="n"/>
      <c r="P682" s="85">
        <f>SUM(D682:O682)</f>
        <v/>
      </c>
    </row>
    <row customHeight="1" ht="15" r="683" s="1843" spans="1:57" thickBot="1">
      <c r="B683" s="70" t="s">
        <v>217</v>
      </c>
      <c r="C683" s="2458" t="n"/>
      <c r="D683" s="74">
        <f>SUM(D675:D682)</f>
        <v/>
      </c>
      <c r="E683" s="74">
        <f>SUM(E675:E682)</f>
        <v/>
      </c>
      <c r="F683" s="74">
        <f>SUM(F675:F682)</f>
        <v/>
      </c>
      <c r="G683" s="74">
        <f>SUM(G675:G682)</f>
        <v/>
      </c>
      <c r="H683" s="74">
        <f>SUM(H675:H682)</f>
        <v/>
      </c>
      <c r="I683" s="74">
        <f>SUM(I675:I682)</f>
        <v/>
      </c>
      <c r="J683" s="74">
        <f>SUM(J675:J682)</f>
        <v/>
      </c>
      <c r="K683" s="74">
        <f>SUM(K675:K682)</f>
        <v/>
      </c>
      <c r="L683" s="74">
        <f>SUM(L675:L682)</f>
        <v/>
      </c>
      <c r="M683" s="74">
        <f>SUM(M675:M682)</f>
        <v/>
      </c>
      <c r="N683" s="74">
        <f>SUM(N675:N682)</f>
        <v/>
      </c>
      <c r="O683" s="74">
        <f>SUM(O675:O682)</f>
        <v/>
      </c>
      <c r="P683" s="76">
        <f>SUM(D683:O683)</f>
        <v/>
      </c>
    </row>
    <row customHeight="1" ht="15" r="684" s="1843" spans="1:57" thickBot="1">
      <c r="A684" s="2362" t="n"/>
      <c r="B684" s="1324" t="n"/>
      <c r="C684" s="2449" t="s">
        <v>218</v>
      </c>
      <c r="D684" s="1323">
        <f>SUM(D674,D683)</f>
        <v/>
      </c>
      <c r="E684" s="1323">
        <f>SUM(E674,E683)</f>
        <v/>
      </c>
      <c r="F684" s="1323">
        <f>SUM(F674,F683)</f>
        <v/>
      </c>
      <c r="G684" s="1323">
        <f>SUM(G674,G683)</f>
        <v/>
      </c>
      <c r="H684" s="1323">
        <f>SUM(H674,H683)</f>
        <v/>
      </c>
      <c r="I684" s="1323">
        <f>SUM(I674,I683)</f>
        <v/>
      </c>
      <c r="J684" s="1323">
        <f>SUM(J674,J683)</f>
        <v/>
      </c>
      <c r="K684" s="1323">
        <f>SUM(K674,K683)</f>
        <v/>
      </c>
      <c r="L684" s="1323">
        <f>SUM(L674,L683)</f>
        <v/>
      </c>
      <c r="M684" s="1323">
        <f>SUM(M674,M683)</f>
        <v/>
      </c>
      <c r="N684" s="1323">
        <f>SUM(N674,N683)</f>
        <v/>
      </c>
      <c r="O684" s="1323">
        <f>SUM(O674,O683)</f>
        <v/>
      </c>
      <c r="P684" s="89">
        <f>SUM(P674,P683)</f>
        <v/>
      </c>
    </row>
  </sheetData>
  <mergeCells count="63">
    <mergeCell ref="A165:A168"/>
    <mergeCell ref="A169:A171"/>
    <mergeCell ref="A667:A683"/>
    <mergeCell ref="A627:A630"/>
    <mergeCell ref="A400:A406"/>
    <mergeCell ref="A407:A409"/>
    <mergeCell ref="A410:A412"/>
    <mergeCell ref="A435:A441"/>
    <mergeCell ref="A442:A444"/>
    <mergeCell ref="A445:A447"/>
    <mergeCell ref="A614:A616"/>
    <mergeCell ref="A617:A619"/>
    <mergeCell ref="A573:A579"/>
    <mergeCell ref="A580:A582"/>
    <mergeCell ref="A583:A585"/>
    <mergeCell ref="A647:A650"/>
    <mergeCell ref="A538:A544"/>
    <mergeCell ref="A545:A547"/>
    <mergeCell ref="A637:A640"/>
    <mergeCell ref="A228:A234"/>
    <mergeCell ref="A235:A237"/>
    <mergeCell ref="A263:A269"/>
    <mergeCell ref="A270:A272"/>
    <mergeCell ref="A297:A303"/>
    <mergeCell ref="A304:A306"/>
    <mergeCell ref="A331:A337"/>
    <mergeCell ref="A338:A340"/>
    <mergeCell ref="A607:A613"/>
    <mergeCell ref="A375:A377"/>
    <mergeCell ref="A469:A475"/>
    <mergeCell ref="A476:A478"/>
    <mergeCell ref="A548:A550"/>
    <mergeCell ref="A130:A133"/>
    <mergeCell ref="A134:A136"/>
    <mergeCell ref="A238:A240"/>
    <mergeCell ref="A273:A275"/>
    <mergeCell ref="R68:S68"/>
    <mergeCell ref="A88:A94"/>
    <mergeCell ref="A95:A98"/>
    <mergeCell ref="A99:A101"/>
    <mergeCell ref="R103:S103"/>
    <mergeCell ref="R174:S174"/>
    <mergeCell ref="A194:A200"/>
    <mergeCell ref="A201:A203"/>
    <mergeCell ref="A204:A206"/>
    <mergeCell ref="A123:A129"/>
    <mergeCell ref="R138:S138"/>
    <mergeCell ref="A158:A164"/>
    <mergeCell ref="A504:A510"/>
    <mergeCell ref="A511:A513"/>
    <mergeCell ref="A514:A516"/>
    <mergeCell ref="A307:A309"/>
    <mergeCell ref="A341:A343"/>
    <mergeCell ref="A365:A371"/>
    <mergeCell ref="A372:A374"/>
    <mergeCell ref="A479:A481"/>
    <mergeCell ref="A20:A26"/>
    <mergeCell ref="A27:A30"/>
    <mergeCell ref="R2:S2"/>
    <mergeCell ref="A64:A66"/>
    <mergeCell ref="A60:A63"/>
    <mergeCell ref="R33:S33"/>
    <mergeCell ref="A53:A59"/>
  </mergeCells>
  <pageMargins bottom="0.75" footer="0.3" header="0.3" left="0.7" right="0.7" top="0.75"/>
  <pageSetup orientation="portrait" paperSize="9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567"/>
  <sheetViews>
    <sheetView workbookViewId="0" zoomScale="85" zoomScaleNormal="85">
      <pane activePane="bottomRight" state="frozen" topLeftCell="H259" xSplit="4" ySplit="3"/>
      <selection activeCell="E1" pane="topRight" sqref="E1"/>
      <selection activeCell="A4" pane="bottomLeft" sqref="A4"/>
      <selection activeCell="H272" pane="bottomRight" sqref="H272"/>
    </sheetView>
  </sheetViews>
  <sheetFormatPr baseColWidth="8" defaultColWidth="8.875" defaultRowHeight="14.25" outlineLevelCol="0" outlineLevelRow="1"/>
  <cols>
    <col bestFit="1" customWidth="1" max="1" min="1" style="2362" width="8.625"/>
    <col customWidth="1" max="2" min="2" style="2362" width="8.625"/>
    <col customWidth="1" max="3" min="3" style="1324" width="4.5"/>
    <col customWidth="1" max="4" min="4" style="2362" width="14.75"/>
    <col customWidth="1" max="6" min="5" style="2362" width="8.75"/>
    <col customWidth="1" max="11" min="7" style="2362" width="10.625"/>
    <col bestFit="1" customWidth="1" max="12" min="12" style="2362" width="12.25"/>
    <col customWidth="1" max="14" min="13" style="2362" width="10.625"/>
    <col bestFit="1" customWidth="1" max="15" min="15" style="2362" width="12.25"/>
    <col customWidth="1" max="16" min="16" style="2362" width="10.625"/>
    <col customWidth="1" max="17" min="17" style="2362" width="15"/>
    <col bestFit="1" customWidth="1" max="18" min="18" style="2504" width="12.375"/>
    <col customWidth="1" hidden="1" max="19" min="19" style="2505" width="15.625"/>
    <col customWidth="1" hidden="1" max="20" min="20" style="2505" width="6.125"/>
    <col customWidth="1" hidden="1" max="21" min="21" style="2362" width="16.125"/>
    <col bestFit="1" customWidth="1" max="22" min="22" style="2362" width="15"/>
    <col customWidth="1" max="23" min="23" style="2362" width="16.125"/>
    <col customWidth="1" max="24" min="24" style="2362" width="13.75"/>
    <col bestFit="1" customWidth="1" max="27" min="25" style="2362" width="10"/>
    <col customWidth="1" max="32" min="28" style="2362" width="8.875"/>
    <col bestFit="1" customWidth="1" max="33" min="33" style="2362" width="14.25"/>
    <col customWidth="1" max="16384" min="34" style="2362" width="8.875"/>
  </cols>
  <sheetData>
    <row customHeight="1" ht="19.5" r="1" s="1843" spans="1:33">
      <c r="A1" s="2363" t="n"/>
      <c r="B1" s="2506" t="n"/>
      <c r="C1" s="44" t="n"/>
      <c r="D1" s="2507" t="s">
        <v>239</v>
      </c>
      <c r="E1" s="2365" t="n"/>
      <c r="F1" s="2366" t="n"/>
      <c r="G1" s="2365" t="n"/>
      <c r="H1" s="2365" t="n"/>
      <c r="I1" s="2365" t="n"/>
      <c r="J1" s="2365" t="n"/>
      <c r="K1" s="2367" t="n"/>
      <c r="L1" s="2367" t="n"/>
      <c r="M1" s="2367" t="n"/>
      <c r="N1" s="2367" t="n"/>
      <c r="O1" s="2367" t="n"/>
      <c r="P1" s="2367" t="n"/>
      <c r="Q1" s="2506" t="n"/>
      <c r="R1" s="2508" t="n"/>
      <c r="S1" s="2509" t="n"/>
    </row>
    <row customHeight="1" ht="15.75" r="2" s="1843" spans="1:33">
      <c r="A2" s="2510" t="n"/>
      <c r="B2" s="2511" t="n"/>
      <c r="C2" s="1581" t="n"/>
      <c r="D2" s="2512" t="n"/>
      <c r="E2" s="2513" t="s">
        <v>240</v>
      </c>
      <c r="H2" s="2514" t="s">
        <v>154</v>
      </c>
      <c r="Q2" s="2515" t="n"/>
      <c r="U2" s="2362" t="s">
        <v>241</v>
      </c>
    </row>
    <row customHeight="1" ht="15.75" r="3" s="1843" spans="1:33">
      <c r="A3" s="2516" t="n"/>
      <c r="B3" s="2517" t="n"/>
      <c r="C3" s="1593" t="n"/>
      <c r="D3" s="1594" t="n"/>
      <c r="E3" s="2518" t="n">
        <v>43191</v>
      </c>
      <c r="F3" s="2518" t="n">
        <v>43222</v>
      </c>
      <c r="G3" s="2518" t="n">
        <v>43253</v>
      </c>
      <c r="H3" s="2519" t="n">
        <v>43284</v>
      </c>
      <c r="I3" s="2519" t="n">
        <v>43315</v>
      </c>
      <c r="J3" s="2519" t="n">
        <v>43346</v>
      </c>
      <c r="K3" s="2519" t="n">
        <v>43377</v>
      </c>
      <c r="L3" s="2519" t="n">
        <v>43408</v>
      </c>
      <c r="M3" s="2519" t="n">
        <v>43439</v>
      </c>
      <c r="N3" s="2519" t="n">
        <v>43470</v>
      </c>
      <c r="O3" s="2519" t="n">
        <v>43501</v>
      </c>
      <c r="P3" s="2519" t="n">
        <v>43532</v>
      </c>
      <c r="Q3" s="2520" t="s">
        <v>55</v>
      </c>
    </row>
    <row customHeight="1" ht="15.75" outlineLevel="1" r="4" s="1843" spans="1:33">
      <c r="A4" s="2521" t="s">
        <v>242</v>
      </c>
      <c r="B4" s="2522" t="n"/>
      <c r="C4" s="343" t="s">
        <v>243</v>
      </c>
      <c r="D4" s="2523" t="n"/>
      <c r="E4" s="331" t="n"/>
      <c r="F4" s="330" t="n"/>
      <c r="G4" s="1598" t="n"/>
      <c r="H4" s="1598" t="n"/>
      <c r="I4" s="1598" t="n"/>
      <c r="J4" s="1598" t="n"/>
      <c r="K4" s="1598" t="n"/>
      <c r="L4" s="1598" t="n"/>
      <c r="M4" s="1598" t="n"/>
      <c r="N4" s="1598" t="n"/>
      <c r="O4" s="1598" t="n"/>
      <c r="P4" s="1599" t="n"/>
      <c r="Q4" s="1684">
        <f>SUM(E4:P4)</f>
        <v/>
      </c>
    </row>
    <row customFormat="1" customHeight="1" ht="18" outlineLevel="1" r="5" s="2422" spans="1:33">
      <c r="A5" s="2524" t="s">
        <v>244</v>
      </c>
      <c r="B5" s="2525" t="n"/>
      <c r="C5" s="354" t="s">
        <v>245</v>
      </c>
      <c r="D5" s="2526" t="n"/>
      <c r="E5" s="352" t="n">
        <v>2648145.46</v>
      </c>
      <c r="F5" s="352" t="n">
        <v>3165733.23</v>
      </c>
      <c r="G5" s="352" t="n">
        <v>4375497.01</v>
      </c>
      <c r="H5" s="352" t="n">
        <v>2624817.32</v>
      </c>
      <c r="I5" s="352">
        <f>'[5]FY18 SDD'!K156</f>
        <v/>
      </c>
      <c r="J5" s="352">
        <f>'[5]FY18 SDD'!L156</f>
        <v/>
      </c>
      <c r="K5" s="351">
        <f>'[5]FY18 SDD'!N156</f>
        <v/>
      </c>
      <c r="L5" s="351">
        <f>'[5]FY18 SDD'!O156</f>
        <v/>
      </c>
      <c r="M5" s="351">
        <f>'[5]FY18 SDD'!P156</f>
        <v/>
      </c>
      <c r="N5" s="351">
        <f>'[5]FY18 SDD'!Q156</f>
        <v/>
      </c>
      <c r="O5" s="351">
        <f>'[5]FY18 SDD'!R156</f>
        <v/>
      </c>
      <c r="P5" s="351">
        <f>'[5]FY18 SDD'!S156</f>
        <v/>
      </c>
      <c r="Q5" s="350">
        <f>SUM(E5:P5)</f>
        <v/>
      </c>
      <c r="R5" s="2527">
        <f>'[5]ActualSGA (Division)'!AY49*1000</f>
        <v/>
      </c>
      <c r="S5" s="2505">
        <f>Q5-R5</f>
        <v/>
      </c>
      <c r="T5" s="2505" t="n"/>
      <c r="U5" s="2422" t="n"/>
      <c r="V5" s="2422" t="n"/>
      <c r="W5" s="2422" t="n"/>
      <c r="X5" s="2422" t="n"/>
      <c r="Y5" s="2422" t="n"/>
      <c r="Z5" s="2422" t="n"/>
      <c r="AA5" s="2422" t="n"/>
    </row>
    <row outlineLevel="1" r="6" s="1843" spans="1:33">
      <c r="A6" s="2528" t="n"/>
      <c r="B6" s="2529" t="s">
        <v>246</v>
      </c>
      <c r="C6" s="348" t="n"/>
      <c r="D6" s="2530" t="n"/>
      <c r="E6" s="1600">
        <f>SUM(E5)</f>
        <v/>
      </c>
      <c r="F6" s="1600">
        <f>SUM(F5)</f>
        <v/>
      </c>
      <c r="G6" s="1600">
        <f>SUM(G5)</f>
        <v/>
      </c>
      <c r="H6" s="1601">
        <f>SUM(H5)</f>
        <v/>
      </c>
      <c r="I6" s="1601">
        <f>SUM(I5)</f>
        <v/>
      </c>
      <c r="J6" s="1601">
        <f>SUM(J5)</f>
        <v/>
      </c>
      <c r="K6" s="1601">
        <f>SUM(K5)</f>
        <v/>
      </c>
      <c r="L6" s="1601">
        <f>SUM(L5)</f>
        <v/>
      </c>
      <c r="M6" s="1601">
        <f>SUM(M5)</f>
        <v/>
      </c>
      <c r="N6" s="1601">
        <f>SUM(N5)</f>
        <v/>
      </c>
      <c r="O6" s="1601">
        <f>SUM(O5)</f>
        <v/>
      </c>
      <c r="P6" s="1601">
        <f>SUM(P5)</f>
        <v/>
      </c>
      <c r="Q6" s="1602">
        <f>SUM(E6:P6)</f>
        <v/>
      </c>
    </row>
    <row customHeight="1" ht="15.75" outlineLevel="1" r="7" s="1843" spans="1:33">
      <c r="A7" s="2531" t="n"/>
      <c r="B7" s="2532" t="s">
        <v>247</v>
      </c>
      <c r="C7" s="1604" t="n"/>
      <c r="D7" s="2533" t="n"/>
      <c r="E7" s="1600" t="n"/>
      <c r="F7" s="1601" t="n"/>
      <c r="G7" s="1601" t="n"/>
      <c r="H7" s="1601" t="n"/>
      <c r="I7" s="1601" t="n"/>
      <c r="J7" s="1601" t="n"/>
      <c r="K7" s="1601" t="n"/>
      <c r="L7" s="1601" t="n"/>
      <c r="M7" s="1601" t="n"/>
      <c r="N7" s="1601" t="n"/>
      <c r="O7" s="1601" t="n"/>
      <c r="P7" s="1606" t="n"/>
      <c r="Q7" s="1607">
        <f>SUM(E7:P7)</f>
        <v/>
      </c>
      <c r="T7" s="2534" t="n"/>
      <c r="U7" s="2535" t="n"/>
      <c r="V7" s="2536" t="n"/>
      <c r="W7" s="2536" t="n"/>
    </row>
    <row customHeight="1" ht="15.75" outlineLevel="1" r="8" s="1843" spans="1:33">
      <c r="A8" s="2531" t="n"/>
      <c r="B8" s="2532" t="s">
        <v>248</v>
      </c>
      <c r="C8" s="1604" t="n"/>
      <c r="D8" s="2533" t="n"/>
      <c r="E8" s="361">
        <f>E6-E7</f>
        <v/>
      </c>
      <c r="F8" s="356">
        <f>F6-F7</f>
        <v/>
      </c>
      <c r="G8" s="356">
        <f>G6-G7</f>
        <v/>
      </c>
      <c r="H8" s="356">
        <f>H6-H7</f>
        <v/>
      </c>
      <c r="I8" s="356">
        <f>I6-I7</f>
        <v/>
      </c>
      <c r="J8" s="356">
        <f>J6-J7</f>
        <v/>
      </c>
      <c r="K8" s="356">
        <f>K6-K7</f>
        <v/>
      </c>
      <c r="L8" s="356">
        <f>L6-L7</f>
        <v/>
      </c>
      <c r="M8" s="356">
        <f>M6-M7</f>
        <v/>
      </c>
      <c r="N8" s="356">
        <f>N6-N7</f>
        <v/>
      </c>
      <c r="O8" s="356">
        <f>O6-O7</f>
        <v/>
      </c>
      <c r="P8" s="374">
        <f>P6-P7</f>
        <v/>
      </c>
      <c r="Q8" s="1608">
        <f>SUM(E8:P8)</f>
        <v/>
      </c>
      <c r="T8" s="2534" t="n"/>
      <c r="U8" s="2537" t="n"/>
      <c r="V8" s="2538" t="n"/>
      <c r="W8" s="2538" t="n"/>
      <c r="X8" s="2377" t="n"/>
    </row>
    <row customHeight="1" ht="15.75" outlineLevel="1" r="9" s="1843" spans="1:33">
      <c r="A9" s="2531" t="n"/>
      <c r="B9" s="2539" t="n"/>
      <c r="C9" s="1686" t="n"/>
      <c r="D9" s="2540" t="s">
        <v>249</v>
      </c>
      <c r="E9" s="1688" t="n"/>
      <c r="F9" s="1598" t="n"/>
      <c r="G9" s="1598" t="n"/>
      <c r="H9" s="1598" t="n"/>
      <c r="I9" s="1598" t="n"/>
      <c r="J9" s="1598" t="n"/>
      <c r="K9" s="1598" t="n"/>
      <c r="L9" s="1598" t="n"/>
      <c r="M9" s="1598" t="n"/>
      <c r="N9" s="1598" t="n"/>
      <c r="O9" s="1598" t="n"/>
      <c r="P9" s="1599" t="n"/>
      <c r="Q9" s="1684">
        <f>SUM(E9:P9)</f>
        <v/>
      </c>
      <c r="T9" s="2534" t="n"/>
      <c r="U9" s="2537" t="n"/>
      <c r="V9" s="2538" t="n"/>
      <c r="W9" s="2538" t="n"/>
      <c r="X9" s="2377" t="n"/>
    </row>
    <row customHeight="1" ht="15.75" outlineLevel="1" r="10" s="1843" spans="1:33">
      <c r="A10" s="2531" t="n"/>
      <c r="B10" s="2522" t="n"/>
      <c r="C10" s="343" t="n"/>
      <c r="D10" s="2541" t="s">
        <v>250</v>
      </c>
      <c r="E10" s="337" t="n"/>
      <c r="F10" s="336" t="n"/>
      <c r="G10" s="336" t="n"/>
      <c r="H10" s="336" t="n"/>
      <c r="I10" s="336" t="n"/>
      <c r="J10" s="336" t="n"/>
      <c r="K10" s="336" t="n"/>
      <c r="L10" s="336" t="n"/>
      <c r="M10" s="336" t="n"/>
      <c r="N10" s="336" t="n"/>
      <c r="O10" s="336" t="n"/>
      <c r="P10" s="376" t="n"/>
      <c r="Q10" s="335">
        <f>SUM(E10:P10)</f>
        <v/>
      </c>
      <c r="T10" s="2534" t="n"/>
      <c r="U10" s="2537" t="n"/>
      <c r="V10" s="2538" t="n"/>
      <c r="W10" s="2538" t="n"/>
      <c r="X10" s="2377" t="n"/>
    </row>
    <row customHeight="1" ht="15.75" outlineLevel="1" r="11" s="1843" spans="1:33">
      <c r="A11" s="2531" t="n"/>
      <c r="B11" s="2522" t="n"/>
      <c r="C11" s="339" t="s">
        <v>251</v>
      </c>
      <c r="D11" s="2533" t="n"/>
      <c r="E11" s="1600">
        <f>SUM(E9:E10)</f>
        <v/>
      </c>
      <c r="F11" s="1601">
        <f>SUM(F9:F10)</f>
        <v/>
      </c>
      <c r="G11" s="1601">
        <f>SUM(G9:G10)</f>
        <v/>
      </c>
      <c r="H11" s="1601">
        <f>SUM(H9:H10)</f>
        <v/>
      </c>
      <c r="I11" s="1601">
        <f>SUM(I9:I10)</f>
        <v/>
      </c>
      <c r="J11" s="1601">
        <f>SUM(J9:J10)</f>
        <v/>
      </c>
      <c r="K11" s="1601">
        <f>SUM(K9:K10)</f>
        <v/>
      </c>
      <c r="L11" s="1601">
        <f>SUM(L9:L10)</f>
        <v/>
      </c>
      <c r="M11" s="1601">
        <f>SUM(M9:M10)</f>
        <v/>
      </c>
      <c r="N11" s="1601">
        <f>SUM(N9:N10)</f>
        <v/>
      </c>
      <c r="O11" s="1601">
        <f>SUM(O9:O10)</f>
        <v/>
      </c>
      <c r="P11" s="1606">
        <f>SUM(P9:P10)</f>
        <v/>
      </c>
      <c r="Q11" s="1607">
        <f>SUM(E11:P11)</f>
        <v/>
      </c>
      <c r="S11" s="2505" t="n"/>
      <c r="T11" s="2534" t="n"/>
      <c r="U11" s="2537" t="n"/>
      <c r="V11" s="2538" t="n"/>
      <c r="W11" s="2538" t="n"/>
      <c r="X11" s="2377" t="n"/>
    </row>
    <row customHeight="1" ht="15" outlineLevel="1" r="12" s="1843" spans="1:33">
      <c r="A12" s="2542" t="n"/>
      <c r="B12" s="2522" t="n"/>
      <c r="C12" s="1686" t="n"/>
      <c r="D12" s="2543" t="s">
        <v>187</v>
      </c>
      <c r="E12" s="1690">
        <f>E416+E412/2</f>
        <v/>
      </c>
      <c r="F12" s="1690">
        <f>F416+F412/2</f>
        <v/>
      </c>
      <c r="G12" s="1690">
        <f>G416+G412/2</f>
        <v/>
      </c>
      <c r="H12" s="1690">
        <f>H416+H412/2</f>
        <v/>
      </c>
      <c r="I12" s="1690">
        <f>I416+I412/2</f>
        <v/>
      </c>
      <c r="J12" s="1690">
        <f>J416+J412/2</f>
        <v/>
      </c>
      <c r="K12" s="1690">
        <f>K416+K412/2</f>
        <v/>
      </c>
      <c r="L12" s="1690">
        <f>L416+L412/2</f>
        <v/>
      </c>
      <c r="M12" s="1690">
        <f>M416+M412/2</f>
        <v/>
      </c>
      <c r="N12" s="1690">
        <f>N416+N412/2</f>
        <v/>
      </c>
      <c r="O12" s="1690">
        <f>O416+O412/2</f>
        <v/>
      </c>
      <c r="P12" s="1690">
        <f>P416+P412/2</f>
        <v/>
      </c>
      <c r="Q12" s="241">
        <f>SUM(E12:P12)</f>
        <v/>
      </c>
      <c r="R12" s="2527">
        <f>'[6]FY18 CFG'!Q12</f>
        <v/>
      </c>
      <c r="S12" s="2544" t="n"/>
      <c r="T12" s="2545" t="n"/>
      <c r="U12" s="2537" t="n"/>
      <c r="V12" s="2538">
        <f>Q12-R12</f>
        <v/>
      </c>
      <c r="W12" s="2538" t="n"/>
      <c r="X12" s="2377" t="n"/>
    </row>
    <row customHeight="1" ht="15" outlineLevel="1" r="13" s="1843" spans="1:33">
      <c r="A13" s="2542" t="n"/>
      <c r="B13" s="2522" t="n"/>
      <c r="C13" s="343" t="n"/>
      <c r="D13" s="2382" t="s">
        <v>189</v>
      </c>
      <c r="E13" s="1327" t="n"/>
      <c r="F13" s="815" t="n"/>
      <c r="G13" s="815" t="n"/>
      <c r="H13" s="815" t="n"/>
      <c r="I13" s="815" t="n">
        <v>525</v>
      </c>
      <c r="J13" s="815" t="n">
        <v>525</v>
      </c>
      <c r="K13" s="815" t="n">
        <v>525</v>
      </c>
      <c r="L13" s="815" t="n">
        <v>525</v>
      </c>
      <c r="M13" s="815" t="n">
        <v>525</v>
      </c>
      <c r="N13" s="815" t="n">
        <v>525</v>
      </c>
      <c r="O13" s="815" t="n">
        <v>525</v>
      </c>
      <c r="P13" s="816" t="n">
        <v>525</v>
      </c>
      <c r="Q13" s="241">
        <f>SUM(E13:P13)</f>
        <v/>
      </c>
      <c r="S13" s="2544" t="n"/>
      <c r="T13" s="2546" t="n"/>
      <c r="U13" s="2547" t="n"/>
      <c r="V13" s="2538" t="n"/>
      <c r="W13" s="2538" t="n"/>
      <c r="X13" s="2377" t="n"/>
    </row>
    <row customHeight="1" ht="15" outlineLevel="1" r="14" s="1843" spans="1:33">
      <c r="A14" s="2542" t="n"/>
      <c r="B14" s="2522" t="n"/>
      <c r="C14" s="343" t="n"/>
      <c r="D14" s="2548" t="s">
        <v>252</v>
      </c>
      <c r="E14" s="833">
        <f>E389</f>
        <v/>
      </c>
      <c r="F14" s="833">
        <f>F389</f>
        <v/>
      </c>
      <c r="G14" s="833">
        <f>G389</f>
        <v/>
      </c>
      <c r="H14" s="833">
        <f>H389</f>
        <v/>
      </c>
      <c r="I14" s="833">
        <f>I389</f>
        <v/>
      </c>
      <c r="J14" s="833">
        <f>J389</f>
        <v/>
      </c>
      <c r="K14" s="833">
        <f>K389</f>
        <v/>
      </c>
      <c r="L14" s="833">
        <f>L389</f>
        <v/>
      </c>
      <c r="M14" s="833">
        <f>M389</f>
        <v/>
      </c>
      <c r="N14" s="833">
        <f>N389</f>
        <v/>
      </c>
      <c r="O14" s="833">
        <f>O389</f>
        <v/>
      </c>
      <c r="P14" s="833">
        <f>P389</f>
        <v/>
      </c>
      <c r="Q14" s="241">
        <f>SUM(E14:P14)</f>
        <v/>
      </c>
      <c r="S14" s="2544" t="n"/>
      <c r="U14" s="2377" t="n"/>
      <c r="V14" s="2538" t="n"/>
      <c r="W14" s="2538" t="n"/>
      <c r="X14" s="2377" t="n"/>
      <c r="Y14" s="1324" t="n"/>
      <c r="Z14" s="1324" t="n"/>
      <c r="AA14" s="1324" t="n"/>
    </row>
    <row customHeight="1" ht="15" outlineLevel="1" r="15" s="1843" spans="1:33">
      <c r="A15" s="2542" t="n"/>
      <c r="B15" s="2522" t="n"/>
      <c r="C15" s="343" t="n"/>
      <c r="D15" s="2382" t="s">
        <v>158</v>
      </c>
      <c r="E15" s="1327" t="n">
        <v>9071.530000000001</v>
      </c>
      <c r="F15" s="815" t="n">
        <v>9071.57</v>
      </c>
      <c r="G15" s="815" t="n">
        <v>9031.65</v>
      </c>
      <c r="H15" s="815" t="n">
        <v>9106.289999999999</v>
      </c>
      <c r="I15" s="815" t="n">
        <v>10235.5997</v>
      </c>
      <c r="J15" s="815" t="n">
        <v>10430.5997</v>
      </c>
      <c r="K15" s="815" t="n">
        <v>10356.4632</v>
      </c>
      <c r="L15" s="815" t="n">
        <v>10551.4632</v>
      </c>
      <c r="M15" s="815" t="n">
        <v>10634.7965</v>
      </c>
      <c r="N15" s="815" t="n">
        <v>11024.7965</v>
      </c>
      <c r="O15" s="815" t="n">
        <v>10679.491</v>
      </c>
      <c r="P15" s="816" t="n">
        <v>9818.785900000001</v>
      </c>
      <c r="Q15" s="241">
        <f>SUM(E15:P15)</f>
        <v/>
      </c>
      <c r="S15" s="2544" t="n"/>
      <c r="V15" s="2538" t="n"/>
      <c r="W15" s="2538" t="n"/>
      <c r="X15" s="2377" t="n"/>
    </row>
    <row customHeight="1" ht="16.5" outlineLevel="1" r="16" s="1843" spans="1:33">
      <c r="A16" s="2542" t="n"/>
      <c r="B16" s="2522" t="n"/>
      <c r="C16" s="343" t="n"/>
      <c r="D16" s="2382" t="s">
        <v>192</v>
      </c>
      <c r="E16" s="1327" t="n">
        <v>15694.5</v>
      </c>
      <c r="F16" s="815" t="n">
        <v>13458.43</v>
      </c>
      <c r="G16" s="815" t="n">
        <v>12878.5</v>
      </c>
      <c r="H16" s="1678" t="n">
        <v>15065.88</v>
      </c>
      <c r="I16" s="815" t="n">
        <v>3200</v>
      </c>
      <c r="J16" s="815" t="n">
        <v>3200</v>
      </c>
      <c r="K16" s="815" t="n">
        <v>3200</v>
      </c>
      <c r="L16" s="815" t="n">
        <v>3200</v>
      </c>
      <c r="M16" s="815" t="n">
        <v>3200</v>
      </c>
      <c r="N16" s="815" t="n">
        <v>3200</v>
      </c>
      <c r="O16" s="815" t="n">
        <v>3200</v>
      </c>
      <c r="P16" s="816" t="n">
        <v>3200</v>
      </c>
      <c r="Q16" s="241">
        <f>SUM(E16:P16)</f>
        <v/>
      </c>
      <c r="S16" s="2544" t="n"/>
      <c r="T16" s="2549" t="n"/>
      <c r="U16" s="2550" t="n"/>
      <c r="V16" s="2538" t="n"/>
      <c r="W16" s="2538" t="n"/>
      <c r="X16" s="2377" t="n"/>
    </row>
    <row customHeight="1" ht="16.5" outlineLevel="1" r="17" s="1843" spans="1:33">
      <c r="A17" s="2542" t="n"/>
      <c r="B17" s="2522" t="n"/>
      <c r="C17" s="343" t="n"/>
      <c r="D17" s="2551" t="s">
        <v>193</v>
      </c>
      <c r="E17" s="1327" t="n">
        <v>651944.67</v>
      </c>
      <c r="F17" s="1327" t="n">
        <v>707637.67</v>
      </c>
      <c r="G17" s="1327" t="n">
        <v>540275.58</v>
      </c>
      <c r="H17" s="1327" t="n">
        <v>726628.03</v>
      </c>
      <c r="I17" s="1327" t="n">
        <v>769380</v>
      </c>
      <c r="J17" s="1327" t="n">
        <v>789380</v>
      </c>
      <c r="K17" s="1327" t="n">
        <v>789380</v>
      </c>
      <c r="L17" s="1327" t="n">
        <v>789380</v>
      </c>
      <c r="M17" s="1327" t="n">
        <v>789380</v>
      </c>
      <c r="N17" s="1327" t="n">
        <v>789380</v>
      </c>
      <c r="O17" s="1327" t="n">
        <v>789380</v>
      </c>
      <c r="P17" s="1327" t="n">
        <v>789380</v>
      </c>
      <c r="Q17" s="241">
        <f>SUM(E17:P17)</f>
        <v/>
      </c>
      <c r="R17" s="2552" t="n"/>
      <c r="S17" s="2544" t="n"/>
      <c r="T17" s="2549" t="n"/>
      <c r="U17" s="2553" t="n"/>
      <c r="V17" s="2538" t="n"/>
      <c r="W17" s="2538" t="n"/>
      <c r="X17" s="2377" t="n"/>
    </row>
    <row customHeight="1" ht="16.5" outlineLevel="1" r="18" s="1843" spans="1:33">
      <c r="A18" s="2542" t="n"/>
      <c r="B18" s="2522" t="n"/>
      <c r="C18" s="343" t="n"/>
      <c r="D18" s="2382" t="s">
        <v>213</v>
      </c>
      <c r="E18" s="1327" t="n">
        <v>1576</v>
      </c>
      <c r="F18" s="815" t="n">
        <v>25185.45</v>
      </c>
      <c r="G18" s="815" t="n">
        <v>20031.8</v>
      </c>
      <c r="H18" s="1678" t="n">
        <v>52619.5</v>
      </c>
      <c r="I18" s="815" t="n">
        <v>18900</v>
      </c>
      <c r="J18" s="815" t="n">
        <v>18900</v>
      </c>
      <c r="K18" s="815" t="n">
        <v>18900</v>
      </c>
      <c r="L18" s="815" t="n">
        <v>18900</v>
      </c>
      <c r="M18" s="815" t="n">
        <v>18900</v>
      </c>
      <c r="N18" s="815" t="n">
        <v>18900</v>
      </c>
      <c r="O18" s="815" t="n">
        <v>18900</v>
      </c>
      <c r="P18" s="816" t="n">
        <v>18900</v>
      </c>
      <c r="Q18" s="241">
        <f>SUM(E18:P18)</f>
        <v/>
      </c>
      <c r="S18" s="2544" t="n"/>
      <c r="T18" s="2549" t="n"/>
      <c r="U18" s="2553" t="n"/>
      <c r="V18" s="2538" t="n"/>
      <c r="W18" s="2538" t="n"/>
      <c r="X18" s="2377" t="n"/>
    </row>
    <row customHeight="1" ht="16.5" outlineLevel="1" r="19" s="1843" spans="1:33">
      <c r="A19" s="2542" t="n"/>
      <c r="B19" s="2522" t="n"/>
      <c r="C19" s="343" t="n"/>
      <c r="D19" s="2382" t="s">
        <v>253</v>
      </c>
      <c r="E19" s="1327" t="n"/>
      <c r="F19" s="815" t="n"/>
      <c r="G19" s="815" t="n"/>
      <c r="H19" s="815" t="n"/>
      <c r="I19" s="815" t="n"/>
      <c r="J19" s="815" t="n"/>
      <c r="K19" s="815" t="n"/>
      <c r="L19" s="815" t="n"/>
      <c r="M19" s="815" t="n"/>
      <c r="N19" s="815" t="n"/>
      <c r="O19" s="815" t="n"/>
      <c r="P19" s="816" t="n"/>
      <c r="Q19" s="241">
        <f>SUM(E19:P19)</f>
        <v/>
      </c>
      <c r="S19" s="2544" t="n"/>
      <c r="U19" s="2553" t="n"/>
      <c r="V19" s="2538" t="n"/>
      <c r="W19" s="2538" t="n"/>
      <c r="X19" s="2377" t="n"/>
    </row>
    <row customHeight="1" ht="15" outlineLevel="1" r="20" s="1843" spans="1:33">
      <c r="A20" s="2542" t="n"/>
      <c r="B20" s="2522" t="n"/>
      <c r="C20" s="343" t="n"/>
      <c r="D20" s="2382" t="s">
        <v>254</v>
      </c>
      <c r="E20" s="1327" t="n"/>
      <c r="F20" s="815" t="n"/>
      <c r="G20" s="815" t="n"/>
      <c r="H20" s="815" t="n"/>
      <c r="I20" s="815" t="n"/>
      <c r="J20" s="815" t="n"/>
      <c r="K20" s="815" t="n"/>
      <c r="L20" s="815" t="n"/>
      <c r="M20" s="815" t="n"/>
      <c r="N20" s="815" t="n"/>
      <c r="O20" s="815" t="n"/>
      <c r="P20" s="816" t="n"/>
      <c r="Q20" s="241">
        <f>SUM(E20:P20)</f>
        <v/>
      </c>
      <c r="S20" s="2544" t="n"/>
      <c r="V20" s="2538" t="n"/>
      <c r="W20" s="2538" t="n"/>
      <c r="X20" s="2377" t="n"/>
    </row>
    <row customHeight="1" ht="15" outlineLevel="1" r="21" s="1843" spans="1:33">
      <c r="A21" s="2542" t="n"/>
      <c r="B21" s="2522" t="n"/>
      <c r="C21" s="343" t="n"/>
      <c r="D21" s="2382" t="s">
        <v>255</v>
      </c>
      <c r="E21" s="1327" t="n">
        <v>19872.7</v>
      </c>
      <c r="F21" s="815">
        <f>-40490.75+59.19</f>
        <v/>
      </c>
      <c r="G21" s="815" t="n">
        <v>32827.22</v>
      </c>
      <c r="H21" s="1678" t="n">
        <v>19697.36</v>
      </c>
      <c r="I21" s="815" t="n">
        <v>800</v>
      </c>
      <c r="J21" s="815" t="n">
        <v>800</v>
      </c>
      <c r="K21" s="815" t="n">
        <v>800</v>
      </c>
      <c r="L21" s="815" t="n">
        <v>800</v>
      </c>
      <c r="M21" s="815" t="n">
        <v>800</v>
      </c>
      <c r="N21" s="815" t="n">
        <v>800</v>
      </c>
      <c r="O21" s="815" t="n">
        <v>800</v>
      </c>
      <c r="P21" s="816" t="n">
        <v>800</v>
      </c>
      <c r="Q21" s="241">
        <f>SUM(E21:P21)</f>
        <v/>
      </c>
      <c r="S21" s="2544" t="n"/>
      <c r="V21" s="2538" t="n"/>
      <c r="W21" s="2538" t="n"/>
      <c r="X21" s="2377" t="n"/>
    </row>
    <row customHeight="1" ht="15" outlineLevel="1" r="22" s="1843" spans="1:33">
      <c r="A22" s="2542" t="n"/>
      <c r="B22" s="2522" t="n"/>
      <c r="C22" s="379" t="n"/>
      <c r="D22" s="2554" t="s">
        <v>256</v>
      </c>
      <c r="E22" s="835">
        <f>E441-E430</f>
        <v/>
      </c>
      <c r="F22" s="835">
        <f>F441-F430</f>
        <v/>
      </c>
      <c r="G22" s="835">
        <f>G441-G430</f>
        <v/>
      </c>
      <c r="H22" s="835">
        <f>H441-H430</f>
        <v/>
      </c>
      <c r="I22" s="835">
        <f>I441-I430</f>
        <v/>
      </c>
      <c r="J22" s="835">
        <f>J441-J430</f>
        <v/>
      </c>
      <c r="K22" s="835">
        <f>K441-K430</f>
        <v/>
      </c>
      <c r="L22" s="835">
        <f>L441-L430</f>
        <v/>
      </c>
      <c r="M22" s="835">
        <f>M441-M430</f>
        <v/>
      </c>
      <c r="N22" s="835">
        <f>N441-N430</f>
        <v/>
      </c>
      <c r="O22" s="835">
        <f>O441-O430</f>
        <v/>
      </c>
      <c r="P22" s="835">
        <f>P441-P430</f>
        <v/>
      </c>
      <c r="Q22" s="232">
        <f>SUM(E22:P22)</f>
        <v/>
      </c>
      <c r="R22" s="2555" t="n"/>
      <c r="S22" s="2544" t="n"/>
      <c r="X22" s="2377" t="n"/>
    </row>
    <row customHeight="1" ht="15.75" outlineLevel="1" r="23" s="1843" spans="1:33">
      <c r="A23" s="2531" t="n"/>
      <c r="B23" s="2522" t="n"/>
      <c r="C23" s="343" t="n"/>
      <c r="D23" s="2556" t="s">
        <v>257</v>
      </c>
      <c r="E23" s="1610" t="n"/>
      <c r="F23" s="1611" t="n"/>
      <c r="G23" s="1611" t="n"/>
      <c r="H23" s="1611" t="n"/>
      <c r="I23" s="1611" t="n"/>
      <c r="J23" s="1611" t="n"/>
      <c r="K23" s="1611" t="n"/>
      <c r="L23" s="1611" t="n"/>
      <c r="M23" s="1611" t="n"/>
      <c r="N23" s="1611" t="n"/>
      <c r="O23" s="1611" t="n"/>
      <c r="P23" s="1612" t="n"/>
      <c r="Q23" s="232">
        <f>SUM(E23:P23)</f>
        <v/>
      </c>
      <c r="S23" s="2505" t="n"/>
      <c r="X23" s="2377" t="n"/>
    </row>
    <row customHeight="1" ht="15.75" outlineLevel="1" r="24" s="1843" spans="1:33">
      <c r="A24" s="2531" t="n"/>
      <c r="B24" s="2522" t="n"/>
      <c r="C24" s="343" t="n"/>
      <c r="D24" s="2556" t="s">
        <v>258</v>
      </c>
      <c r="E24" s="1610" t="n"/>
      <c r="F24" s="1611" t="n"/>
      <c r="G24" s="1611" t="n">
        <v>-235313.5</v>
      </c>
      <c r="H24" s="1611" t="n"/>
      <c r="I24" s="1611" t="n"/>
      <c r="J24" s="1611" t="n"/>
      <c r="K24" s="1611" t="n"/>
      <c r="L24" s="1611" t="n"/>
      <c r="M24" s="1611" t="n"/>
      <c r="N24" s="1611" t="n"/>
      <c r="O24" s="1611" t="n"/>
      <c r="P24" s="1612" t="n"/>
      <c r="Q24" s="232">
        <f>SUM(E24:P24)</f>
        <v/>
      </c>
      <c r="S24" s="2505" t="n"/>
    </row>
    <row customHeight="1" ht="15.75" outlineLevel="1" r="25" s="1843" spans="1:33">
      <c r="A25" s="2531" t="n"/>
      <c r="B25" s="2522" t="n"/>
      <c r="C25" s="339" t="s">
        <v>214</v>
      </c>
      <c r="D25" s="2530" t="n"/>
      <c r="E25" s="337">
        <f>SUM(E12:E24)</f>
        <v/>
      </c>
      <c r="F25" s="336">
        <f>SUM(F12:F24)</f>
        <v/>
      </c>
      <c r="G25" s="336">
        <f>SUM(G12:G24)</f>
        <v/>
      </c>
      <c r="H25" s="336">
        <f>SUM(H12:H24)</f>
        <v/>
      </c>
      <c r="I25" s="336">
        <f>SUM(I12:I24)</f>
        <v/>
      </c>
      <c r="J25" s="336">
        <f>SUM(J12:J24)</f>
        <v/>
      </c>
      <c r="K25" s="336">
        <f>SUM(K12:K24)</f>
        <v/>
      </c>
      <c r="L25" s="336">
        <f>SUM(L12:L24)</f>
        <v/>
      </c>
      <c r="M25" s="336">
        <f>SUM(M12:M24)</f>
        <v/>
      </c>
      <c r="N25" s="336">
        <f>SUM(N12:N24)</f>
        <v/>
      </c>
      <c r="O25" s="336">
        <f>SUM(O12:O24)</f>
        <v/>
      </c>
      <c r="P25" s="376">
        <f>SUM(P12:P24)</f>
        <v/>
      </c>
      <c r="Q25" s="1607">
        <f>SUM(E25:P25)</f>
        <v/>
      </c>
      <c r="S25" s="2505" t="n"/>
    </row>
    <row customHeight="1" ht="15.75" outlineLevel="1" r="26" s="1843" spans="1:33">
      <c r="A26" s="2557" t="n"/>
      <c r="B26" s="2522" t="n"/>
      <c r="C26" s="1686" t="n"/>
      <c r="D26" s="2558" t="s">
        <v>232</v>
      </c>
      <c r="E26" s="1692">
        <f>E371</f>
        <v/>
      </c>
      <c r="F26" s="1692">
        <f>F371</f>
        <v/>
      </c>
      <c r="G26" s="1692">
        <f>G371</f>
        <v/>
      </c>
      <c r="H26" s="1692">
        <f>H371</f>
        <v/>
      </c>
      <c r="I26" s="1692">
        <f>I371</f>
        <v/>
      </c>
      <c r="J26" s="1692">
        <f>J371</f>
        <v/>
      </c>
      <c r="K26" s="1692">
        <f>K371</f>
        <v/>
      </c>
      <c r="L26" s="1692">
        <f>L371</f>
        <v/>
      </c>
      <c r="M26" s="1692">
        <f>M371</f>
        <v/>
      </c>
      <c r="N26" s="1692">
        <f>N371</f>
        <v/>
      </c>
      <c r="O26" s="1692">
        <f>O371</f>
        <v/>
      </c>
      <c r="P26" s="1692">
        <f>P371</f>
        <v/>
      </c>
      <c r="Q26" s="1693">
        <f>SUM(E26:P26)</f>
        <v/>
      </c>
      <c r="R26" s="2559" t="n"/>
      <c r="S26" s="2544" t="n"/>
      <c r="AA26" s="2362" t="n">
        <v>195661.77</v>
      </c>
      <c r="AB26" s="2362" t="n">
        <v>193845.71</v>
      </c>
      <c r="AC26" s="2362" t="n">
        <v>199070.68</v>
      </c>
      <c r="AD26" s="2362" t="n">
        <v>195249.38</v>
      </c>
      <c r="AE26" s="2362" t="n">
        <v>195962.86</v>
      </c>
      <c r="AF26" s="2362" t="n">
        <v>196156.82</v>
      </c>
      <c r="AG26" s="2362" t="n">
        <v>198448.24</v>
      </c>
    </row>
    <row customHeight="1" ht="15.75" outlineLevel="1" r="27" s="1843" spans="1:33">
      <c r="A27" s="2557" t="n"/>
      <c r="B27" s="2522" t="n"/>
      <c r="C27" s="343" t="n"/>
      <c r="D27" s="2560" t="s">
        <v>161</v>
      </c>
      <c r="E27" s="742">
        <f>E419+E430</f>
        <v/>
      </c>
      <c r="F27" s="742">
        <f>F419+F430</f>
        <v/>
      </c>
      <c r="G27" s="742">
        <f>G419+G430</f>
        <v/>
      </c>
      <c r="H27" s="742">
        <f>H419+H430</f>
        <v/>
      </c>
      <c r="I27" s="742">
        <f>I419+I430</f>
        <v/>
      </c>
      <c r="J27" s="742">
        <f>J419+J430</f>
        <v/>
      </c>
      <c r="K27" s="742">
        <f>K419+K430</f>
        <v/>
      </c>
      <c r="L27" s="742">
        <f>L419+L430</f>
        <v/>
      </c>
      <c r="M27" s="742">
        <f>M419+M430</f>
        <v/>
      </c>
      <c r="N27" s="742">
        <f>N419+N430</f>
        <v/>
      </c>
      <c r="O27" s="742">
        <f>O419+O430</f>
        <v/>
      </c>
      <c r="P27" s="742">
        <f>P419+P430</f>
        <v/>
      </c>
      <c r="Q27" s="1693">
        <f>SUM(E27:P27)</f>
        <v/>
      </c>
      <c r="R27" s="2559" t="n"/>
      <c r="S27" s="2544" t="n"/>
    </row>
    <row customHeight="1" ht="15.75" outlineLevel="1" r="28" s="1843" spans="1:33">
      <c r="A28" s="2557" t="n"/>
      <c r="B28" s="341" t="n"/>
      <c r="C28" s="341">
        <f>42/125</f>
        <v/>
      </c>
      <c r="D28" s="2561" t="s">
        <v>215</v>
      </c>
      <c r="E28" s="386">
        <f>E407*E34/E339</f>
        <v/>
      </c>
      <c r="F28" s="386">
        <f>F407*F34/F339</f>
        <v/>
      </c>
      <c r="G28" s="386">
        <f>G407*G34/G339</f>
        <v/>
      </c>
      <c r="H28" s="386">
        <f>H407*H34/H339</f>
        <v/>
      </c>
      <c r="I28" s="386">
        <f>I407*I34/I339</f>
        <v/>
      </c>
      <c r="J28" s="386">
        <f>J407*J34/J339</f>
        <v/>
      </c>
      <c r="K28" s="386">
        <f>K407*K34/K339</f>
        <v/>
      </c>
      <c r="L28" s="386">
        <f>L407*L34/L339</f>
        <v/>
      </c>
      <c r="M28" s="386">
        <f>M407*M34/M339</f>
        <v/>
      </c>
      <c r="N28" s="386">
        <f>N407*N34/N339</f>
        <v/>
      </c>
      <c r="O28" s="386">
        <f>O407*O34/O339</f>
        <v/>
      </c>
      <c r="P28" s="386">
        <f>P407*P34/P339</f>
        <v/>
      </c>
      <c r="Q28" s="232">
        <f>SUM(E28:P28)</f>
        <v/>
      </c>
      <c r="R28" s="836">
        <f>Q28/Q407</f>
        <v/>
      </c>
      <c r="S28" s="2544" t="n"/>
      <c r="AA28" s="2362" t="n">
        <v>44</v>
      </c>
      <c r="AB28" s="2362" t="n">
        <v>44</v>
      </c>
      <c r="AC28" s="2362" t="n">
        <v>44</v>
      </c>
      <c r="AD28" s="2362" t="n">
        <v>44</v>
      </c>
      <c r="AE28" s="2362" t="n">
        <v>44</v>
      </c>
      <c r="AF28" s="2362" t="n">
        <v>44</v>
      </c>
      <c r="AG28" s="2362" t="n">
        <v>44</v>
      </c>
    </row>
    <row customHeight="1" ht="15.75" outlineLevel="1" r="29" s="1843" spans="1:33">
      <c r="A29" s="2531" t="n"/>
      <c r="B29" s="2522" t="n"/>
      <c r="C29" s="339" t="s">
        <v>217</v>
      </c>
      <c r="D29" s="2530" t="n"/>
      <c r="E29" s="337">
        <f>SUM(E26:E28)</f>
        <v/>
      </c>
      <c r="F29" s="336">
        <f>SUM(F26:F28)</f>
        <v/>
      </c>
      <c r="G29" s="336">
        <f>SUM(G26:G28)</f>
        <v/>
      </c>
      <c r="H29" s="336">
        <f>SUM(H26:H28)</f>
        <v/>
      </c>
      <c r="I29" s="336">
        <f>SUM(I26:I28)</f>
        <v/>
      </c>
      <c r="J29" s="336">
        <f>SUM(J26:J28)</f>
        <v/>
      </c>
      <c r="K29" s="336">
        <f>SUM(K26:K28)</f>
        <v/>
      </c>
      <c r="L29" s="336">
        <f>SUM(L26:L28)</f>
        <v/>
      </c>
      <c r="M29" s="336">
        <f>SUM(M26:M28)</f>
        <v/>
      </c>
      <c r="N29" s="336">
        <f>SUM(N26:N28)</f>
        <v/>
      </c>
      <c r="O29" s="336">
        <f>SUM(O26:O28)</f>
        <v/>
      </c>
      <c r="P29" s="376">
        <f>SUM(P26:P28)</f>
        <v/>
      </c>
      <c r="Q29" s="335">
        <f>SUM(E29:P29)</f>
        <v/>
      </c>
      <c r="AA29" s="2362">
        <f>AA26/AA28</f>
        <v/>
      </c>
      <c r="AB29" s="2362">
        <f>AB26/AB28</f>
        <v/>
      </c>
      <c r="AC29" s="2362">
        <f>AC26/AC28</f>
        <v/>
      </c>
      <c r="AD29" s="2362">
        <f>AD26/AD28</f>
        <v/>
      </c>
      <c r="AE29" s="2362">
        <f>AE26/AE28</f>
        <v/>
      </c>
      <c r="AF29" s="2362">
        <f>AF26/AF28</f>
        <v/>
      </c>
      <c r="AG29" s="2362">
        <f>AG26/AG28</f>
        <v/>
      </c>
    </row>
    <row outlineLevel="1" r="30" s="1843" spans="1:33">
      <c r="A30" s="2562" t="n"/>
      <c r="B30" s="2562" t="s">
        <v>259</v>
      </c>
      <c r="C30" s="333" t="n"/>
      <c r="D30" s="2563" t="n"/>
      <c r="E30" s="331">
        <f>SUM(E29,E25,E11)</f>
        <v/>
      </c>
      <c r="F30" s="330">
        <f>SUM(F29,F25,F11)</f>
        <v/>
      </c>
      <c r="G30" s="330">
        <f>SUM(G29,G25,G11)</f>
        <v/>
      </c>
      <c r="H30" s="330">
        <f>SUM(H29,H25,H11)</f>
        <v/>
      </c>
      <c r="I30" s="330">
        <f>SUM(I29,I25,I11)</f>
        <v/>
      </c>
      <c r="J30" s="330">
        <f>SUM(J29,J25,J11)</f>
        <v/>
      </c>
      <c r="K30" s="330">
        <f>SUM(K29,K25,K11)</f>
        <v/>
      </c>
      <c r="L30" s="330">
        <f>SUM(L29,L25,L11)</f>
        <v/>
      </c>
      <c r="M30" s="330">
        <f>SUM(M29,M25,M11)</f>
        <v/>
      </c>
      <c r="N30" s="330">
        <f>SUM(N29,N25,N11)</f>
        <v/>
      </c>
      <c r="O30" s="330">
        <f>SUM(O29,O25,O11)</f>
        <v/>
      </c>
      <c r="P30" s="381">
        <f>SUM(P29,P25,P11)</f>
        <v/>
      </c>
      <c r="Q30" s="1684">
        <f>SUM(E30:P30)</f>
        <v/>
      </c>
    </row>
    <row r="31" spans="1:33">
      <c r="A31" s="2564" t="n"/>
      <c r="B31" s="2565" t="s">
        <v>260</v>
      </c>
      <c r="C31" s="1614" t="n"/>
      <c r="D31" s="2566" t="n"/>
      <c r="E31" s="1616">
        <f>E8-E30</f>
        <v/>
      </c>
      <c r="F31" s="1617">
        <f>F8-F30</f>
        <v/>
      </c>
      <c r="G31" s="1617">
        <f>G8-G30</f>
        <v/>
      </c>
      <c r="H31" s="1617">
        <f>H8-H30</f>
        <v/>
      </c>
      <c r="I31" s="1617">
        <f>I8-I30</f>
        <v/>
      </c>
      <c r="J31" s="1617">
        <f>J8-J30</f>
        <v/>
      </c>
      <c r="K31" s="1617">
        <f>K8-K30</f>
        <v/>
      </c>
      <c r="L31" s="1617">
        <f>L8-L30</f>
        <v/>
      </c>
      <c r="M31" s="1617">
        <f>M8-M30</f>
        <v/>
      </c>
      <c r="N31" s="1617">
        <f>N8-N30</f>
        <v/>
      </c>
      <c r="O31" s="1617">
        <f>O8-O30</f>
        <v/>
      </c>
      <c r="P31" s="1618">
        <f>P8-P30</f>
        <v/>
      </c>
      <c r="Q31" s="1608">
        <f>SUM(E31:P31)</f>
        <v/>
      </c>
      <c r="T31" s="1522" t="n"/>
    </row>
    <row r="32" spans="1:33">
      <c r="A32" s="2567" t="n"/>
      <c r="B32" s="2568" t="s">
        <v>261</v>
      </c>
      <c r="E32" s="1600" t="n"/>
      <c r="F32" s="1601" t="n"/>
      <c r="G32" s="1601" t="n"/>
      <c r="H32" s="1601" t="n"/>
      <c r="I32" s="1601" t="n"/>
      <c r="J32" s="1601" t="n"/>
      <c r="K32" s="1601" t="n"/>
      <c r="L32" s="1601" t="n"/>
      <c r="M32" s="1601" t="n"/>
      <c r="N32" s="1601" t="n"/>
      <c r="O32" s="1601" t="n"/>
      <c r="P32" s="1606" t="n"/>
      <c r="Q32" s="1619">
        <f>SUM(E32:P32)</f>
        <v/>
      </c>
    </row>
    <row customHeight="1" ht="19.9" r="33" s="1843" spans="1:33" thickBot="1">
      <c r="A33" s="2569" t="n"/>
      <c r="B33" s="2570" t="s">
        <v>262</v>
      </c>
      <c r="E33" s="1620">
        <f>E31-E32</f>
        <v/>
      </c>
      <c r="F33" s="1520">
        <f>F31-F32</f>
        <v/>
      </c>
      <c r="G33" s="1520">
        <f>G31-G32</f>
        <v/>
      </c>
      <c r="H33" s="1520">
        <f>H31-H32</f>
        <v/>
      </c>
      <c r="I33" s="1520">
        <f>I31-I32</f>
        <v/>
      </c>
      <c r="J33" s="1520">
        <f>J31-J32</f>
        <v/>
      </c>
      <c r="K33" s="1520">
        <f>K31-K32</f>
        <v/>
      </c>
      <c r="L33" s="1520">
        <f>L31-L32</f>
        <v/>
      </c>
      <c r="M33" s="1520">
        <f>M31-M32</f>
        <v/>
      </c>
      <c r="N33" s="1520">
        <f>N31-N32</f>
        <v/>
      </c>
      <c r="O33" s="1520">
        <f>O31-O32</f>
        <v/>
      </c>
      <c r="P33" s="1521">
        <f>P31-P32</f>
        <v/>
      </c>
      <c r="Q33" s="1621">
        <f>SUM(E33:P33)</f>
        <v/>
      </c>
      <c r="R33" s="224" t="n"/>
    </row>
    <row r="34" spans="1:33">
      <c r="A34" s="2569" t="n"/>
      <c r="B34" s="2571" t="n"/>
      <c r="C34" s="2572" t="n"/>
      <c r="D34" s="2573" t="s">
        <v>203</v>
      </c>
      <c r="E34" s="8" t="n">
        <v>36</v>
      </c>
      <c r="F34" s="8" t="n">
        <v>36</v>
      </c>
      <c r="G34" s="8" t="n">
        <v>36</v>
      </c>
      <c r="H34" s="8">
        <f>37+1</f>
        <v/>
      </c>
      <c r="I34" s="8">
        <f>37+1</f>
        <v/>
      </c>
      <c r="J34" s="8">
        <f>37+1</f>
        <v/>
      </c>
      <c r="K34" s="8">
        <f>37+1</f>
        <v/>
      </c>
      <c r="L34" s="8">
        <f>37+1</f>
        <v/>
      </c>
      <c r="M34" s="8">
        <f>37+1</f>
        <v/>
      </c>
      <c r="N34" s="8">
        <f>37+1</f>
        <v/>
      </c>
      <c r="O34" s="8">
        <f>37+1</f>
        <v/>
      </c>
      <c r="P34" s="8">
        <f>37+1</f>
        <v/>
      </c>
      <c r="Q34" s="241">
        <f>SUM(E34:P34)</f>
        <v/>
      </c>
      <c r="R34" s="301">
        <f>Q34/Q339</f>
        <v/>
      </c>
      <c r="S34" s="1522" t="n"/>
    </row>
    <row customHeight="1" ht="15" r="35" s="1843" spans="1:33">
      <c r="A35" s="2569" t="n"/>
      <c r="B35" s="2571" t="s">
        <v>263</v>
      </c>
      <c r="C35" s="2572" t="n"/>
      <c r="D35" s="2573" t="s">
        <v>201</v>
      </c>
      <c r="E35" s="8">
        <f>E$303*E$341/E$356</f>
        <v/>
      </c>
      <c r="F35" s="8">
        <f>F$303*F$341/F$356</f>
        <v/>
      </c>
      <c r="G35" s="8">
        <f>G$303*G$341/G$356</f>
        <v/>
      </c>
      <c r="H35" s="8">
        <f>H$303*H$341/H$356</f>
        <v/>
      </c>
      <c r="I35" s="8">
        <f>I$303*I$341/I$356</f>
        <v/>
      </c>
      <c r="J35" s="8">
        <f>J$303*J$341/J$356</f>
        <v/>
      </c>
      <c r="K35" s="8">
        <f>K$303*K$341/K$356</f>
        <v/>
      </c>
      <c r="L35" s="8">
        <f>L$303*L$341/L$356</f>
        <v/>
      </c>
      <c r="M35" s="8">
        <f>M$303*M$341/M$356</f>
        <v/>
      </c>
      <c r="N35" s="8">
        <f>N$303*N$341/N$356</f>
        <v/>
      </c>
      <c r="O35" s="8">
        <f>O$303*O$341/O$356</f>
        <v/>
      </c>
      <c r="P35" s="8">
        <f>P$303*P$341/P$356</f>
        <v/>
      </c>
      <c r="Q35" s="241">
        <f>SUM(E35:P35)</f>
        <v/>
      </c>
      <c r="R35" s="224" t="n"/>
      <c r="S35" s="2544" t="n"/>
    </row>
    <row customHeight="1" ht="15" r="36" s="1843" spans="1:33">
      <c r="A36" s="2569" t="n"/>
      <c r="B36" s="2574" t="n"/>
      <c r="C36" s="2575" t="n"/>
      <c r="D36" s="2576" t="s">
        <v>264</v>
      </c>
      <c r="E36" s="234" t="n">
        <v>0</v>
      </c>
      <c r="F36" s="233" t="n">
        <v>0</v>
      </c>
      <c r="G36" s="233" t="n">
        <v>0</v>
      </c>
      <c r="H36" s="233" t="n">
        <v>0</v>
      </c>
      <c r="I36" s="233" t="n">
        <v>0</v>
      </c>
      <c r="J36" s="233" t="n">
        <v>0</v>
      </c>
      <c r="K36" s="233" t="n">
        <v>0</v>
      </c>
      <c r="L36" s="233" t="n">
        <v>0</v>
      </c>
      <c r="M36" s="233" t="n">
        <v>0</v>
      </c>
      <c r="N36" s="233" t="n">
        <v>0</v>
      </c>
      <c r="O36" s="233" t="n">
        <v>0</v>
      </c>
      <c r="P36" s="380" t="n">
        <v>0</v>
      </c>
      <c r="Q36" s="232">
        <f>SUM(E36:P36)</f>
        <v/>
      </c>
      <c r="R36" s="224" t="n"/>
      <c r="S36" s="2544" t="n"/>
      <c r="U36" s="2422" t="n"/>
      <c r="V36" s="2422" t="n"/>
      <c r="W36" s="2422" t="n"/>
    </row>
    <row customHeight="1" ht="15" r="37" s="1843" spans="1:33" thickBot="1">
      <c r="A37" s="2577" t="n"/>
      <c r="B37" s="2578" t="n"/>
      <c r="C37" s="2579" t="n"/>
      <c r="D37" s="2580" t="s">
        <v>79</v>
      </c>
      <c r="E37" s="320">
        <f>E33+E35+E36</f>
        <v/>
      </c>
      <c r="F37" s="319">
        <f>F33+F35+F36</f>
        <v/>
      </c>
      <c r="G37" s="319">
        <f>G33+G35+G36</f>
        <v/>
      </c>
      <c r="H37" s="319">
        <f>H33+H35+H36</f>
        <v/>
      </c>
      <c r="I37" s="319">
        <f>I33+I35+I36</f>
        <v/>
      </c>
      <c r="J37" s="319">
        <f>J33+J35+J36</f>
        <v/>
      </c>
      <c r="K37" s="319">
        <f>K33+K35+K36</f>
        <v/>
      </c>
      <c r="L37" s="319">
        <f>L33+L35+L36</f>
        <v/>
      </c>
      <c r="M37" s="319">
        <f>M33+M35+M36</f>
        <v/>
      </c>
      <c r="N37" s="319">
        <f>N33+N35+N36</f>
        <v/>
      </c>
      <c r="O37" s="319">
        <f>O33+O35+O36</f>
        <v/>
      </c>
      <c r="P37" s="384">
        <f>P33+P35+P36</f>
        <v/>
      </c>
      <c r="Q37" s="318">
        <f>Q33+Q35+Q36</f>
        <v/>
      </c>
      <c r="R37" s="224" t="n"/>
    </row>
    <row customHeight="1" ht="16.5" outlineLevel="1" r="38" s="1843" spans="1:33" thickTop="1">
      <c r="A38" s="2581" t="s">
        <v>265</v>
      </c>
      <c r="B38" s="2522" t="n"/>
      <c r="C38" s="343" t="s">
        <v>243</v>
      </c>
      <c r="D38" s="2523" t="n"/>
      <c r="E38" s="331" t="n"/>
      <c r="F38" s="330" t="n"/>
      <c r="G38" s="330" t="n"/>
      <c r="H38" s="330" t="n"/>
      <c r="I38" s="330" t="n"/>
      <c r="J38" s="330" t="n"/>
      <c r="K38" s="330" t="n"/>
      <c r="L38" s="330" t="n"/>
      <c r="M38" s="356" t="n"/>
      <c r="N38" s="356" t="n"/>
      <c r="O38" s="356" t="n"/>
      <c r="P38" s="374" t="n"/>
      <c r="Q38" s="346">
        <f>SUM(E38:P38)</f>
        <v/>
      </c>
    </row>
    <row customFormat="1" customHeight="1" ht="18" outlineLevel="1" r="39" s="2422" spans="1:33">
      <c r="A39" s="2524" t="s">
        <v>266</v>
      </c>
      <c r="B39" s="2525" t="n"/>
      <c r="C39" s="354" t="s">
        <v>245</v>
      </c>
      <c r="D39" s="2526" t="n"/>
      <c r="E39" s="352" t="n">
        <v>3363829.11</v>
      </c>
      <c r="F39" s="352" t="n">
        <v>3295147.84</v>
      </c>
      <c r="G39" s="352" t="n">
        <v>3504766.7</v>
      </c>
      <c r="H39" s="352" t="n">
        <v>3389654.6</v>
      </c>
      <c r="I39" s="352">
        <f>'[5]FY18 SDD'!K157</f>
        <v/>
      </c>
      <c r="J39" s="352">
        <f>'[5]FY18 SDD'!L157</f>
        <v/>
      </c>
      <c r="K39" s="351">
        <f>'[5]FY18 SDD'!N157</f>
        <v/>
      </c>
      <c r="L39" s="351">
        <f>'[5]FY18 SDD'!O157</f>
        <v/>
      </c>
      <c r="M39" s="351">
        <f>'[5]FY18 SDD'!P157</f>
        <v/>
      </c>
      <c r="N39" s="351">
        <f>'[5]FY18 SDD'!Q157</f>
        <v/>
      </c>
      <c r="O39" s="351">
        <f>'[5]FY18 SDD'!R157</f>
        <v/>
      </c>
      <c r="P39" s="351">
        <f>'[5]FY18 SDD'!S157</f>
        <v/>
      </c>
      <c r="Q39" s="350">
        <f>SUM(E39:P39)</f>
        <v/>
      </c>
      <c r="R39" s="2527">
        <f>'[5]ActualSGA (Division)'!AY67*1000</f>
        <v/>
      </c>
      <c r="S39" s="2527">
        <f>Q39-R39</f>
        <v/>
      </c>
      <c r="T39" s="2505" t="n"/>
      <c r="U39" s="2362" t="n"/>
      <c r="V39" s="2362" t="n"/>
      <c r="W39" s="2362" t="n"/>
      <c r="X39" s="2422" t="n"/>
      <c r="Y39" s="2422" t="n"/>
      <c r="Z39" s="2422" t="n"/>
      <c r="AA39" s="2422" t="n"/>
    </row>
    <row customHeight="1" ht="15.75" outlineLevel="1" r="40" s="1843" spans="1:33">
      <c r="A40" s="2521" t="n"/>
      <c r="B40" s="2529" t="s">
        <v>246</v>
      </c>
      <c r="C40" s="348" t="n"/>
      <c r="D40" s="2530" t="n"/>
      <c r="E40" s="1600">
        <f>SUM(E39)</f>
        <v/>
      </c>
      <c r="F40" s="1601">
        <f>SUM(F39)</f>
        <v/>
      </c>
      <c r="G40" s="1601">
        <f>SUM(G39)</f>
        <v/>
      </c>
      <c r="H40" s="1601">
        <f>SUM(H39)</f>
        <v/>
      </c>
      <c r="I40" s="1601">
        <f>SUM(I39)</f>
        <v/>
      </c>
      <c r="J40" s="1601">
        <f>SUM(J39)</f>
        <v/>
      </c>
      <c r="K40" s="1601">
        <f>SUM(K39)</f>
        <v/>
      </c>
      <c r="L40" s="1601">
        <f>SUM(L39)</f>
        <v/>
      </c>
      <c r="M40" s="1601">
        <f>SUM(M39)</f>
        <v/>
      </c>
      <c r="N40" s="1601">
        <f>SUM(N39)</f>
        <v/>
      </c>
      <c r="O40" s="1601">
        <f>SUM(O39)</f>
        <v/>
      </c>
      <c r="P40" s="1606">
        <f>SUM(P39)</f>
        <v/>
      </c>
      <c r="Q40" s="1607">
        <f>SUM(E40:P40)</f>
        <v/>
      </c>
    </row>
    <row customHeight="1" ht="15.75" outlineLevel="1" r="41" s="1843" spans="1:33">
      <c r="A41" s="2521" t="n"/>
      <c r="B41" s="2532" t="s">
        <v>247</v>
      </c>
      <c r="C41" s="1604" t="n"/>
      <c r="D41" s="2533" t="n"/>
      <c r="E41" s="1600" t="n"/>
      <c r="F41" s="1601" t="n"/>
      <c r="G41" s="1601" t="n"/>
      <c r="H41" s="1601" t="n"/>
      <c r="I41" s="1601" t="n"/>
      <c r="J41" s="1601" t="n"/>
      <c r="K41" s="1601" t="n"/>
      <c r="L41" s="1601" t="n"/>
      <c r="M41" s="1601" t="n"/>
      <c r="N41" s="1601" t="n"/>
      <c r="O41" s="1601" t="n"/>
      <c r="P41" s="1606" t="n"/>
      <c r="Q41" s="1607">
        <f>SUM(E41:P41)</f>
        <v/>
      </c>
    </row>
    <row customHeight="1" ht="15.75" outlineLevel="1" r="42" s="1843" spans="1:33">
      <c r="A42" s="2531" t="n"/>
      <c r="B42" s="2532" t="s">
        <v>248</v>
      </c>
      <c r="C42" s="1604" t="n"/>
      <c r="D42" s="2533" t="n"/>
      <c r="E42" s="331">
        <f>E40-E41</f>
        <v/>
      </c>
      <c r="F42" s="330">
        <f>F40-F41</f>
        <v/>
      </c>
      <c r="G42" s="330">
        <f>G40-G41</f>
        <v/>
      </c>
      <c r="H42" s="330">
        <f>H40-H41</f>
        <v/>
      </c>
      <c r="I42" s="330">
        <f>I40-I41</f>
        <v/>
      </c>
      <c r="J42" s="330">
        <f>J40-J41</f>
        <v/>
      </c>
      <c r="K42" s="330">
        <f>K40-K41</f>
        <v/>
      </c>
      <c r="L42" s="330">
        <f>L40-L41</f>
        <v/>
      </c>
      <c r="M42" s="330">
        <f>M40-M41</f>
        <v/>
      </c>
      <c r="N42" s="330">
        <f>N40-N41</f>
        <v/>
      </c>
      <c r="O42" s="330">
        <f>O40-O41</f>
        <v/>
      </c>
      <c r="P42" s="381">
        <f>P40-P41</f>
        <v/>
      </c>
      <c r="Q42" s="346">
        <f>SUM(E42:P42)</f>
        <v/>
      </c>
    </row>
    <row customHeight="1" ht="15.75" outlineLevel="1" r="43" s="1843" spans="1:33">
      <c r="A43" s="2531" t="n"/>
      <c r="B43" s="2539" t="n"/>
      <c r="C43" s="1686" t="n"/>
      <c r="D43" s="2540" t="s">
        <v>249</v>
      </c>
      <c r="E43" s="1688" t="n"/>
      <c r="F43" s="1598" t="n"/>
      <c r="G43" s="1598" t="n"/>
      <c r="H43" s="1598" t="n"/>
      <c r="I43" s="1598" t="n"/>
      <c r="J43" s="1598" t="n"/>
      <c r="K43" s="1598" t="n"/>
      <c r="L43" s="1598" t="n"/>
      <c r="M43" s="1598" t="n"/>
      <c r="N43" s="1598" t="n"/>
      <c r="O43" s="1598" t="n"/>
      <c r="P43" s="1599" t="n"/>
      <c r="Q43" s="1684">
        <f>SUM(E43:P43)</f>
        <v/>
      </c>
      <c r="T43" s="2582" t="n"/>
    </row>
    <row customHeight="1" ht="15.75" outlineLevel="1" r="44" s="1843" spans="1:33">
      <c r="A44" s="2531" t="n"/>
      <c r="B44" s="2522" t="n"/>
      <c r="C44" s="343" t="n"/>
      <c r="D44" s="2541" t="s">
        <v>250</v>
      </c>
      <c r="E44" s="337" t="n"/>
      <c r="F44" s="336" t="n"/>
      <c r="G44" s="336" t="n"/>
      <c r="H44" s="336" t="n"/>
      <c r="I44" s="336" t="n"/>
      <c r="J44" s="336" t="n"/>
      <c r="K44" s="336" t="n"/>
      <c r="L44" s="336" t="n"/>
      <c r="M44" s="336" t="n"/>
      <c r="N44" s="336" t="n"/>
      <c r="O44" s="336" t="n"/>
      <c r="P44" s="376" t="n"/>
      <c r="Q44" s="335">
        <f>SUM(E44:P44)</f>
        <v/>
      </c>
    </row>
    <row customHeight="1" ht="15.75" outlineLevel="1" r="45" s="1843" spans="1:33">
      <c r="A45" s="2531" t="n"/>
      <c r="B45" s="2522" t="n"/>
      <c r="C45" s="339" t="s">
        <v>251</v>
      </c>
      <c r="D45" s="2533" t="n"/>
      <c r="E45" s="1600">
        <f>SUM(E43:E44)</f>
        <v/>
      </c>
      <c r="F45" s="1601">
        <f>SUM(F43:F44)</f>
        <v/>
      </c>
      <c r="G45" s="1601">
        <f>SUM(G43:G44)</f>
        <v/>
      </c>
      <c r="H45" s="1601">
        <f>SUM(H43:H44)</f>
        <v/>
      </c>
      <c r="I45" s="1601">
        <f>SUM(I43:I44)</f>
        <v/>
      </c>
      <c r="J45" s="1601">
        <f>SUM(J43:J44)</f>
        <v/>
      </c>
      <c r="K45" s="1601">
        <f>SUM(K43:K44)</f>
        <v/>
      </c>
      <c r="L45" s="1601">
        <f>SUM(L43:L44)</f>
        <v/>
      </c>
      <c r="M45" s="1601">
        <f>SUM(M43:M44)</f>
        <v/>
      </c>
      <c r="N45" s="1601">
        <f>SUM(N43:N44)</f>
        <v/>
      </c>
      <c r="O45" s="1601">
        <f>SUM(O43:O44)</f>
        <v/>
      </c>
      <c r="P45" s="1606">
        <f>SUM(P43:P44)</f>
        <v/>
      </c>
      <c r="Q45" s="1607">
        <f>SUM(E45:P45)</f>
        <v/>
      </c>
    </row>
    <row customHeight="1" ht="15" outlineLevel="1" r="46" s="1843" spans="1:33">
      <c r="A46" s="2542" t="n"/>
      <c r="B46" s="2522" t="n"/>
      <c r="C46" s="1686" t="n"/>
      <c r="D46" s="2583" t="s">
        <v>187</v>
      </c>
      <c r="E46" s="833">
        <f>E415+E412/2</f>
        <v/>
      </c>
      <c r="F46" s="833">
        <f>F415+F412/2</f>
        <v/>
      </c>
      <c r="G46" s="833">
        <f>G415+G412/2</f>
        <v/>
      </c>
      <c r="H46" s="833">
        <f>H415+H412/2</f>
        <v/>
      </c>
      <c r="I46" s="833">
        <f>I415+I412/2</f>
        <v/>
      </c>
      <c r="J46" s="833">
        <f>J415+J412/2</f>
        <v/>
      </c>
      <c r="K46" s="833">
        <f>K415+K412/2</f>
        <v/>
      </c>
      <c r="L46" s="833">
        <f>L415+L412/2</f>
        <v/>
      </c>
      <c r="M46" s="833">
        <f>M415+M412/2</f>
        <v/>
      </c>
      <c r="N46" s="833">
        <f>N415+N412/2</f>
        <v/>
      </c>
      <c r="O46" s="833">
        <f>O415+O412/2</f>
        <v/>
      </c>
      <c r="P46" s="833">
        <f>P415+P412/2</f>
        <v/>
      </c>
      <c r="Q46" s="241">
        <f>SUM(E46:P46)</f>
        <v/>
      </c>
      <c r="R46" s="2527">
        <f>'[6]FY18 CFG'!Q46</f>
        <v/>
      </c>
      <c r="S46" s="2544" t="n"/>
      <c r="V46" s="2538">
        <f>Q46-R46</f>
        <v/>
      </c>
      <c r="W46" s="2538" t="n"/>
      <c r="X46" s="2377" t="n"/>
    </row>
    <row outlineLevel="1" r="47" s="1843" spans="1:33">
      <c r="A47" s="2542" t="n"/>
      <c r="B47" s="2522" t="n"/>
      <c r="C47" s="343" t="n"/>
      <c r="D47" s="2382" t="s">
        <v>189</v>
      </c>
      <c r="E47" s="817" t="n"/>
      <c r="F47" s="818" t="n"/>
      <c r="G47" s="818" t="n"/>
      <c r="H47" s="818" t="n"/>
      <c r="I47" s="818" t="n">
        <v>425</v>
      </c>
      <c r="J47" s="818" t="n">
        <v>425</v>
      </c>
      <c r="K47" s="818" t="n">
        <v>425</v>
      </c>
      <c r="L47" s="818" t="n">
        <v>425</v>
      </c>
      <c r="M47" s="818" t="n">
        <v>425</v>
      </c>
      <c r="N47" s="818" t="n">
        <v>425</v>
      </c>
      <c r="O47" s="818" t="n">
        <v>425</v>
      </c>
      <c r="P47" s="819" t="n">
        <v>425</v>
      </c>
      <c r="Q47" s="241">
        <f>SUM(E47:P47)</f>
        <v/>
      </c>
      <c r="V47" s="2538" t="n"/>
      <c r="W47" s="2538" t="n"/>
      <c r="X47" s="2377" t="n"/>
    </row>
    <row outlineLevel="1" r="48" s="1843" spans="1:33">
      <c r="A48" s="2542" t="n"/>
      <c r="B48" s="2522" t="n"/>
      <c r="C48" s="343" t="n"/>
      <c r="D48" s="2382" t="s">
        <v>252</v>
      </c>
      <c r="E48" s="833">
        <f>E394+E399</f>
        <v/>
      </c>
      <c r="F48" s="833">
        <f>F394+F399</f>
        <v/>
      </c>
      <c r="G48" s="833">
        <f>G394+G399</f>
        <v/>
      </c>
      <c r="H48" s="833">
        <f>H394+H399</f>
        <v/>
      </c>
      <c r="I48" s="833">
        <f>I394+I399</f>
        <v/>
      </c>
      <c r="J48" s="833">
        <f>J394+J399</f>
        <v/>
      </c>
      <c r="K48" s="833">
        <f>K394+K399</f>
        <v/>
      </c>
      <c r="L48" s="833">
        <f>L394+L399</f>
        <v/>
      </c>
      <c r="M48" s="833">
        <f>M394+M399</f>
        <v/>
      </c>
      <c r="N48" s="833">
        <f>N394+N399</f>
        <v/>
      </c>
      <c r="O48" s="833">
        <f>O394+O399</f>
        <v/>
      </c>
      <c r="P48" s="833">
        <f>P394+P399</f>
        <v/>
      </c>
      <c r="Q48" s="241">
        <f>SUM(E48:P48)</f>
        <v/>
      </c>
      <c r="V48" s="2538" t="n"/>
      <c r="W48" s="2538" t="n"/>
      <c r="X48" s="2377" t="n"/>
    </row>
    <row customFormat="1" outlineLevel="1" r="49" s="2362" spans="1:33">
      <c r="A49" s="2542" t="n"/>
      <c r="B49" s="2522" t="n"/>
      <c r="C49" s="343" t="n"/>
      <c r="D49" s="2382" t="s">
        <v>158</v>
      </c>
      <c r="E49" s="1327" t="n">
        <v>6901.400000000001</v>
      </c>
      <c r="F49" s="815" t="n">
        <v>6832.93</v>
      </c>
      <c r="G49" s="818" t="n">
        <v>6933.07</v>
      </c>
      <c r="H49" s="818" t="n">
        <v>7059.25</v>
      </c>
      <c r="I49" s="818" t="n">
        <v>8574.4205</v>
      </c>
      <c r="J49" s="818" t="n">
        <v>7259.7941</v>
      </c>
      <c r="K49" s="818" t="n">
        <v>7259.7941</v>
      </c>
      <c r="L49" s="818" t="n">
        <v>7649.7941</v>
      </c>
      <c r="M49" s="818" t="n">
        <v>7757.68</v>
      </c>
      <c r="N49" s="818" t="n">
        <v>6329.6801</v>
      </c>
      <c r="O49" s="818" t="n">
        <v>6442.95</v>
      </c>
      <c r="P49" s="819" t="n">
        <v>6637.95</v>
      </c>
      <c r="Q49" s="241">
        <f>SUM(E49:P49)</f>
        <v/>
      </c>
      <c r="R49" s="2504" t="n"/>
      <c r="T49" s="2362" t="n"/>
      <c r="U49" s="2362" t="n"/>
      <c r="V49" s="2538" t="n"/>
      <c r="W49" s="2538" t="n"/>
      <c r="X49" s="2377" t="n"/>
    </row>
    <row customFormat="1" outlineLevel="1" r="50" s="2362" spans="1:33">
      <c r="A50" s="2542" t="n"/>
      <c r="B50" s="2522" t="n"/>
      <c r="C50" s="343" t="n"/>
      <c r="D50" s="2382" t="s">
        <v>192</v>
      </c>
      <c r="E50" s="1327" t="n">
        <v>77.47</v>
      </c>
      <c r="F50" s="815" t="n">
        <v>77.47</v>
      </c>
      <c r="G50" s="818" t="n"/>
      <c r="H50" s="818" t="n">
        <v>20297.39</v>
      </c>
      <c r="I50" s="818" t="n">
        <v>13900</v>
      </c>
      <c r="J50" s="818" t="n">
        <v>13900</v>
      </c>
      <c r="K50" s="818" t="n">
        <v>13900</v>
      </c>
      <c r="L50" s="818" t="n">
        <v>13900</v>
      </c>
      <c r="M50" s="818" t="n">
        <v>13900</v>
      </c>
      <c r="N50" s="818" t="n">
        <v>13900</v>
      </c>
      <c r="O50" s="818" t="n">
        <v>13900</v>
      </c>
      <c r="P50" s="819" t="n">
        <v>13900</v>
      </c>
      <c r="Q50" s="241">
        <f>SUM(E50:P50)</f>
        <v/>
      </c>
      <c r="R50" s="2504" t="n"/>
      <c r="T50" s="2362" t="n"/>
      <c r="U50" s="2362" t="n"/>
      <c r="V50" s="2538" t="n"/>
      <c r="W50" s="2538" t="n"/>
      <c r="X50" s="2377" t="n"/>
    </row>
    <row customFormat="1" outlineLevel="1" r="51" s="2362" spans="1:33">
      <c r="A51" s="2542" t="n"/>
      <c r="B51" s="2522" t="n"/>
      <c r="C51" s="343" t="n"/>
      <c r="D51" s="2382" t="s">
        <v>193</v>
      </c>
      <c r="E51" s="1327" t="n">
        <v>922443.48</v>
      </c>
      <c r="F51" s="1327" t="n">
        <v>926324.74</v>
      </c>
      <c r="G51" s="1327" t="n">
        <v>1136622.16</v>
      </c>
      <c r="H51" s="1327" t="n">
        <v>1038763.92</v>
      </c>
      <c r="I51" s="1327" t="n">
        <v>1034588.35</v>
      </c>
      <c r="J51" s="1327" t="n">
        <v>1034588.35</v>
      </c>
      <c r="K51" s="1327" t="n">
        <v>1015088.35</v>
      </c>
      <c r="L51" s="1327" t="n">
        <v>1015088.35</v>
      </c>
      <c r="M51" s="1327" t="n">
        <v>1015088.35</v>
      </c>
      <c r="N51" s="1327" t="n">
        <v>1015088.35</v>
      </c>
      <c r="O51" s="1327" t="n">
        <v>1015088.35</v>
      </c>
      <c r="P51" s="1327" t="n">
        <v>1015088.35</v>
      </c>
      <c r="Q51" s="241">
        <f>SUM(E51:P51)</f>
        <v/>
      </c>
      <c r="R51" s="2552" t="n"/>
      <c r="T51" s="2362" t="n"/>
      <c r="U51" s="2362" t="n"/>
      <c r="V51" s="2538" t="n"/>
      <c r="W51" s="2538" t="n"/>
      <c r="X51" s="2377" t="n"/>
    </row>
    <row customFormat="1" outlineLevel="1" r="52" s="2362" spans="1:33">
      <c r="A52" s="2542" t="n"/>
      <c r="B52" s="2522" t="n"/>
      <c r="C52" s="343" t="n"/>
      <c r="D52" s="2382" t="s">
        <v>213</v>
      </c>
      <c r="E52" s="1327" t="n">
        <v>55729.95</v>
      </c>
      <c r="F52" s="1327" t="n">
        <v>15555.65</v>
      </c>
      <c r="G52" s="1327" t="n">
        <v>54891.38</v>
      </c>
      <c r="H52" s="1679" t="n">
        <v>13107.92</v>
      </c>
      <c r="I52" s="1327">
        <f>17000+34000</f>
        <v/>
      </c>
      <c r="J52" s="1327">
        <f>17000+34000</f>
        <v/>
      </c>
      <c r="K52" s="1327">
        <f>17000+34000</f>
        <v/>
      </c>
      <c r="L52" s="1327">
        <f>17000+34000</f>
        <v/>
      </c>
      <c r="M52" s="1327">
        <f>17000+34000</f>
        <v/>
      </c>
      <c r="N52" s="1327">
        <f>17000+34000</f>
        <v/>
      </c>
      <c r="O52" s="1327">
        <f>17000+34000</f>
        <v/>
      </c>
      <c r="P52" s="1327">
        <f>17000+34000</f>
        <v/>
      </c>
      <c r="Q52" s="241">
        <f>SUM(E52:P52)</f>
        <v/>
      </c>
      <c r="R52" s="2504" t="n"/>
      <c r="T52" s="2362" t="n"/>
      <c r="U52" s="2362" t="n"/>
      <c r="V52" s="2538" t="n"/>
      <c r="W52" s="2538" t="n"/>
      <c r="X52" s="2377" t="n"/>
    </row>
    <row customFormat="1" outlineLevel="1" r="53" s="2362" spans="1:33">
      <c r="A53" s="2542" t="n"/>
      <c r="B53" s="2522" t="n"/>
      <c r="C53" s="343" t="n"/>
      <c r="D53" s="2382" t="s">
        <v>253</v>
      </c>
      <c r="E53" s="817" t="n"/>
      <c r="F53" s="818" t="n"/>
      <c r="G53" s="818" t="n"/>
      <c r="H53" s="818" t="n"/>
      <c r="I53" s="818" t="n"/>
      <c r="J53" s="818" t="n"/>
      <c r="K53" s="818" t="n"/>
      <c r="L53" s="818" t="n"/>
      <c r="M53" s="818" t="n"/>
      <c r="N53" s="818" t="n"/>
      <c r="O53" s="818" t="n"/>
      <c r="P53" s="819" t="n"/>
      <c r="Q53" s="241">
        <f>SUM(E53:P53)</f>
        <v/>
      </c>
      <c r="R53" s="2504" t="n"/>
      <c r="T53" s="2362" t="n"/>
      <c r="U53" s="2362" t="n"/>
      <c r="V53" s="2538" t="n"/>
      <c r="W53" s="2538" t="n"/>
      <c r="X53" s="2377" t="n"/>
    </row>
    <row customFormat="1" outlineLevel="1" r="54" s="2362" spans="1:33">
      <c r="A54" s="2542" t="n"/>
      <c r="B54" s="2522" t="n"/>
      <c r="C54" s="343" t="n"/>
      <c r="D54" s="2382" t="s">
        <v>254</v>
      </c>
      <c r="E54" s="1327" t="n"/>
      <c r="F54" s="815" t="n"/>
      <c r="G54" s="815" t="n"/>
      <c r="H54" s="815" t="n"/>
      <c r="I54" s="815" t="n"/>
      <c r="J54" s="815" t="n"/>
      <c r="K54" s="815" t="n"/>
      <c r="L54" s="815" t="n"/>
      <c r="M54" s="815" t="n"/>
      <c r="N54" s="815" t="n"/>
      <c r="O54" s="815" t="n"/>
      <c r="P54" s="816" t="n"/>
      <c r="Q54" s="241">
        <f>SUM(E54:P54)</f>
        <v/>
      </c>
      <c r="R54" s="2504" t="n"/>
      <c r="T54" s="2362" t="n"/>
      <c r="U54" s="2362" t="n"/>
      <c r="V54" s="2538" t="n"/>
      <c r="W54" s="2538" t="n"/>
      <c r="X54" s="2377" t="n"/>
    </row>
    <row customFormat="1" outlineLevel="1" r="55" s="2362" spans="1:33">
      <c r="A55" s="2542" t="n"/>
      <c r="B55" s="2522" t="n"/>
      <c r="C55" s="343" t="n"/>
      <c r="D55" s="2382" t="s">
        <v>255</v>
      </c>
      <c r="E55" s="1327" t="n">
        <v>604.98</v>
      </c>
      <c r="F55" s="1327" t="n">
        <v>7.24</v>
      </c>
      <c r="G55" s="1327" t="n">
        <v>16.98</v>
      </c>
      <c r="H55" s="1679" t="n">
        <v>4.94</v>
      </c>
      <c r="I55" s="1327" t="n">
        <v>1000</v>
      </c>
      <c r="J55" s="1327" t="n">
        <v>1000</v>
      </c>
      <c r="K55" s="1327" t="n">
        <v>1000</v>
      </c>
      <c r="L55" s="1327" t="n">
        <v>1000</v>
      </c>
      <c r="M55" s="1327" t="n">
        <v>1000</v>
      </c>
      <c r="N55" s="1327" t="n">
        <v>1000</v>
      </c>
      <c r="O55" s="1327" t="n">
        <v>1000</v>
      </c>
      <c r="P55" s="1327" t="n">
        <v>1000</v>
      </c>
      <c r="Q55" s="241">
        <f>SUM(E55:P55)</f>
        <v/>
      </c>
      <c r="R55" s="2504" t="n"/>
      <c r="T55" s="2362" t="n"/>
      <c r="U55" s="2362" t="n"/>
      <c r="V55" s="2538" t="n"/>
      <c r="W55" s="2538" t="n"/>
      <c r="X55" s="2377" t="n"/>
    </row>
    <row customFormat="1" outlineLevel="1" r="56" s="2362" spans="1:33">
      <c r="A56" s="2542" t="n"/>
      <c r="B56" s="2522" t="n"/>
      <c r="C56" s="379" t="n"/>
      <c r="D56" s="2554" t="s">
        <v>256</v>
      </c>
      <c r="E56" s="835">
        <f>E442-E431+E451*E350/E355</f>
        <v/>
      </c>
      <c r="F56" s="835">
        <f>F442-F431+F451*F350/F355</f>
        <v/>
      </c>
      <c r="G56" s="835">
        <f>G442-G431+G451*G350/G355</f>
        <v/>
      </c>
      <c r="H56" s="835">
        <f>H442-H431+H451*H350/H355</f>
        <v/>
      </c>
      <c r="I56" s="835">
        <f>I442-I431+I451*I350/I355</f>
        <v/>
      </c>
      <c r="J56" s="835">
        <f>J442-J431+J451*J350/J355</f>
        <v/>
      </c>
      <c r="K56" s="835">
        <f>K442-K431+K451*K350/K355</f>
        <v/>
      </c>
      <c r="L56" s="835">
        <f>L442-L431+L451*L350/L355</f>
        <v/>
      </c>
      <c r="M56" s="835">
        <f>M442-M431+M451*M350/M355</f>
        <v/>
      </c>
      <c r="N56" s="835">
        <f>N442-N431+N451*N350/N355</f>
        <v/>
      </c>
      <c r="O56" s="835">
        <f>O442-O431+O451*O350/O355</f>
        <v/>
      </c>
      <c r="P56" s="835">
        <f>P442-P431+P451*P350/P355</f>
        <v/>
      </c>
      <c r="Q56" s="232">
        <f>SUM(E56:P56)</f>
        <v/>
      </c>
      <c r="R56" s="2555">
        <f>'[5]FY18 CFG (OB)'!Q56</f>
        <v/>
      </c>
      <c r="T56" s="2362" t="n"/>
      <c r="U56" s="2362" t="n"/>
      <c r="V56" s="2538">
        <f>Q56-R56</f>
        <v/>
      </c>
      <c r="W56" s="2538" t="n"/>
      <c r="X56" s="2377" t="n"/>
    </row>
    <row customFormat="1" outlineLevel="1" r="57" s="2362" spans="1:33">
      <c r="A57" s="2564" t="n"/>
      <c r="B57" s="2522" t="n"/>
      <c r="C57" s="343" t="n"/>
      <c r="D57" s="2556" t="s">
        <v>257</v>
      </c>
      <c r="E57" s="234" t="n"/>
      <c r="F57" s="233" t="n"/>
      <c r="G57" s="233" t="n"/>
      <c r="H57" s="233" t="n"/>
      <c r="I57" s="233" t="n"/>
      <c r="J57" s="233" t="n"/>
      <c r="K57" s="233" t="n"/>
      <c r="L57" s="233" t="n"/>
      <c r="M57" s="233" t="n"/>
      <c r="N57" s="233" t="n"/>
      <c r="O57" s="233" t="n"/>
      <c r="P57" s="380" t="n"/>
      <c r="Q57" s="232">
        <f>SUM(E57:P57)</f>
        <v/>
      </c>
      <c r="R57" s="2504" t="n"/>
      <c r="T57" s="2362" t="n"/>
      <c r="U57" s="2362" t="n"/>
      <c r="V57" s="2362" t="n"/>
      <c r="W57" s="2362" t="n"/>
      <c r="X57" s="2362" t="n"/>
    </row>
    <row customFormat="1" outlineLevel="1" r="58" s="2362" spans="1:33">
      <c r="A58" s="2564" t="n"/>
      <c r="B58" s="2522" t="n"/>
      <c r="C58" s="343" t="n"/>
      <c r="D58" s="2556" t="s">
        <v>258</v>
      </c>
      <c r="E58" s="234" t="n"/>
      <c r="F58" s="233" t="n"/>
      <c r="G58" s="233" t="n"/>
      <c r="H58" s="233" t="n"/>
      <c r="I58" s="233" t="n"/>
      <c r="J58" s="233" t="n"/>
      <c r="K58" s="342" t="n"/>
      <c r="L58" s="342" t="n"/>
      <c r="M58" s="233" t="n"/>
      <c r="N58" s="233" t="n"/>
      <c r="O58" s="233" t="n"/>
      <c r="P58" s="380" t="n"/>
      <c r="Q58" s="232">
        <f>SUM(E58:P58)</f>
        <v/>
      </c>
      <c r="R58" s="2504" t="n"/>
      <c r="T58" s="2362" t="n"/>
      <c r="U58" s="2362" t="n"/>
      <c r="V58" s="2362" t="n"/>
      <c r="W58" s="2362" t="n"/>
      <c r="X58" s="2362" t="n"/>
    </row>
    <row customFormat="1" outlineLevel="1" r="59" s="2362" spans="1:33">
      <c r="A59" s="2564" t="n"/>
      <c r="B59" s="2522" t="n"/>
      <c r="C59" s="339" t="s">
        <v>214</v>
      </c>
      <c r="D59" s="2530" t="n"/>
      <c r="E59" s="337">
        <f>SUM(E46:E58)</f>
        <v/>
      </c>
      <c r="F59" s="336">
        <f>SUM(F46:F58)</f>
        <v/>
      </c>
      <c r="G59" s="336">
        <f>SUM(G46:G58)</f>
        <v/>
      </c>
      <c r="H59" s="336">
        <f>SUM(H46:H58)</f>
        <v/>
      </c>
      <c r="I59" s="336">
        <f>SUM(I46:I58)</f>
        <v/>
      </c>
      <c r="J59" s="336">
        <f>SUM(J46:J58)</f>
        <v/>
      </c>
      <c r="K59" s="336">
        <f>SUM(K46:K58)</f>
        <v/>
      </c>
      <c r="L59" s="336">
        <f>SUM(L46:L58)</f>
        <v/>
      </c>
      <c r="M59" s="336">
        <f>SUM(M46:M58)</f>
        <v/>
      </c>
      <c r="N59" s="336">
        <f>SUM(N46:N58)</f>
        <v/>
      </c>
      <c r="O59" s="336">
        <f>SUM(O46:O58)</f>
        <v/>
      </c>
      <c r="P59" s="376">
        <f>SUM(P46:P58)</f>
        <v/>
      </c>
      <c r="Q59" s="335">
        <f>SUM(E59:P59)</f>
        <v/>
      </c>
      <c r="R59" s="2504" t="n"/>
      <c r="T59" s="2362" t="n"/>
      <c r="U59" s="2362" t="n"/>
      <c r="V59" s="2362" t="n"/>
      <c r="W59" s="2362" t="n"/>
      <c r="X59" s="2362" t="n"/>
    </row>
    <row customFormat="1" outlineLevel="1" r="60" s="2362" spans="1:33">
      <c r="A60" s="2564" t="n"/>
      <c r="B60" s="2522" t="n"/>
      <c r="C60" s="1686" t="n"/>
      <c r="D60" s="2558" t="s">
        <v>233</v>
      </c>
      <c r="E60" s="396">
        <f>E477</f>
        <v/>
      </c>
      <c r="F60" s="396">
        <f>F477</f>
        <v/>
      </c>
      <c r="G60" s="396">
        <f>G477</f>
        <v/>
      </c>
      <c r="H60" s="396">
        <f>H477</f>
        <v/>
      </c>
      <c r="I60" s="396">
        <f>I477</f>
        <v/>
      </c>
      <c r="J60" s="396">
        <f>J477</f>
        <v/>
      </c>
      <c r="K60" s="396">
        <f>K477</f>
        <v/>
      </c>
      <c r="L60" s="396">
        <f>L477</f>
        <v/>
      </c>
      <c r="M60" s="396">
        <f>M477</f>
        <v/>
      </c>
      <c r="N60" s="396">
        <f>N477</f>
        <v/>
      </c>
      <c r="O60" s="396">
        <f>O477</f>
        <v/>
      </c>
      <c r="P60" s="396">
        <f>P477</f>
        <v/>
      </c>
      <c r="Q60" s="241">
        <f>SUM(E60:P60)</f>
        <v/>
      </c>
      <c r="R60" s="2504" t="n"/>
      <c r="T60" s="2362" t="n"/>
      <c r="U60" s="2362" t="n"/>
      <c r="V60" s="2362" t="n"/>
      <c r="W60" s="2362" t="n"/>
      <c r="X60" s="2362" t="n"/>
    </row>
    <row customFormat="1" outlineLevel="1" r="61" s="2362" spans="1:33">
      <c r="A61" s="2564" t="n"/>
      <c r="B61" s="2522" t="n"/>
      <c r="C61" s="343" t="n"/>
      <c r="D61" s="2560" t="s">
        <v>161</v>
      </c>
      <c r="E61" s="396">
        <f>E420+E431</f>
        <v/>
      </c>
      <c r="F61" s="396">
        <f>F420+F431</f>
        <v/>
      </c>
      <c r="G61" s="396">
        <f>G420+G431</f>
        <v/>
      </c>
      <c r="H61" s="396">
        <f>H420+H431</f>
        <v/>
      </c>
      <c r="I61" s="396">
        <f>I420+I431</f>
        <v/>
      </c>
      <c r="J61" s="396">
        <f>J420+J431</f>
        <v/>
      </c>
      <c r="K61" s="396">
        <f>K420+K431</f>
        <v/>
      </c>
      <c r="L61" s="396">
        <f>L420+L431</f>
        <v/>
      </c>
      <c r="M61" s="396">
        <f>M420+M431</f>
        <v/>
      </c>
      <c r="N61" s="396">
        <f>N420+N431</f>
        <v/>
      </c>
      <c r="O61" s="396">
        <f>O420+O431</f>
        <v/>
      </c>
      <c r="P61" s="396">
        <f>P420+P431</f>
        <v/>
      </c>
      <c r="Q61" s="241">
        <f>SUM(E61:P61)</f>
        <v/>
      </c>
      <c r="R61" s="2504" t="n"/>
      <c r="T61" s="2362" t="n"/>
      <c r="U61" s="2362" t="n"/>
      <c r="V61" s="2362" t="n"/>
      <c r="W61" s="2362" t="n"/>
      <c r="X61" s="2362" t="n"/>
    </row>
    <row customFormat="1" outlineLevel="1" r="62" s="2362" spans="1:33">
      <c r="A62" s="2564" t="n"/>
      <c r="B62" s="343" t="n"/>
      <c r="C62" s="341">
        <f>37/125</f>
        <v/>
      </c>
      <c r="D62" s="2561" t="s">
        <v>215</v>
      </c>
      <c r="E62" s="386">
        <f>E407*E68/E339</f>
        <v/>
      </c>
      <c r="F62" s="386">
        <f>F407*F68/F339</f>
        <v/>
      </c>
      <c r="G62" s="386">
        <f>G407*G68/G339</f>
        <v/>
      </c>
      <c r="H62" s="386">
        <f>H407*H68/H339</f>
        <v/>
      </c>
      <c r="I62" s="386">
        <f>I407*I68/I339</f>
        <v/>
      </c>
      <c r="J62" s="386">
        <f>J407*J68/J339</f>
        <v/>
      </c>
      <c r="K62" s="386">
        <f>K407*K68/K339</f>
        <v/>
      </c>
      <c r="L62" s="386">
        <f>L407*L68/L339</f>
        <v/>
      </c>
      <c r="M62" s="386">
        <f>M407*M68/M339</f>
        <v/>
      </c>
      <c r="N62" s="386">
        <f>N407*N68/N339</f>
        <v/>
      </c>
      <c r="O62" s="386">
        <f>O407*O68/O339</f>
        <v/>
      </c>
      <c r="P62" s="386">
        <f>P407*P68/P339</f>
        <v/>
      </c>
      <c r="Q62" s="232">
        <f>SUM(E62:P62)</f>
        <v/>
      </c>
      <c r="R62" s="301">
        <f>Q62/Q407</f>
        <v/>
      </c>
      <c r="T62" s="2362" t="n"/>
      <c r="U62" s="2362" t="n"/>
      <c r="V62" s="2362" t="n"/>
      <c r="W62" s="2362" t="n"/>
      <c r="X62" s="2362" t="n"/>
    </row>
    <row customFormat="1" outlineLevel="1" r="63" s="2362" spans="1:33">
      <c r="A63" s="2564" t="n"/>
      <c r="B63" s="2522" t="n"/>
      <c r="C63" s="339" t="s">
        <v>217</v>
      </c>
      <c r="D63" s="2530" t="n"/>
      <c r="E63" s="337">
        <f>SUM(E60:E62)</f>
        <v/>
      </c>
      <c r="F63" s="336">
        <f>SUM(F60:F62)</f>
        <v/>
      </c>
      <c r="G63" s="336">
        <f>SUM(G60:G62)</f>
        <v/>
      </c>
      <c r="H63" s="336">
        <f>SUM(H60:H62)</f>
        <v/>
      </c>
      <c r="I63" s="336">
        <f>SUM(I60:I62)</f>
        <v/>
      </c>
      <c r="J63" s="336">
        <f>SUM(J60:J62)</f>
        <v/>
      </c>
      <c r="K63" s="336">
        <f>SUM(K60:K62)</f>
        <v/>
      </c>
      <c r="L63" s="336">
        <f>SUM(L60:L62)</f>
        <v/>
      </c>
      <c r="M63" s="336">
        <f>SUM(M60:M62)</f>
        <v/>
      </c>
      <c r="N63" s="336">
        <f>SUM(N60:N62)</f>
        <v/>
      </c>
      <c r="O63" s="336">
        <f>SUM(O60:O62)</f>
        <v/>
      </c>
      <c r="P63" s="376">
        <f>SUM(P60:P62)</f>
        <v/>
      </c>
      <c r="Q63" s="335">
        <f>SUM(E63:P63)</f>
        <v/>
      </c>
      <c r="R63" s="2504" t="n"/>
      <c r="T63" s="2362" t="n"/>
      <c r="U63" s="2362" t="n"/>
      <c r="V63" s="2362" t="n"/>
      <c r="W63" s="2362" t="n"/>
      <c r="X63" s="2362" t="n"/>
    </row>
    <row customFormat="1" outlineLevel="1" r="64" s="2362" spans="1:33">
      <c r="A64" s="2562" t="n"/>
      <c r="B64" s="2562" t="s">
        <v>259</v>
      </c>
      <c r="C64" s="333" t="n"/>
      <c r="D64" s="2563" t="n"/>
      <c r="E64" s="331">
        <f>SUM(E63,E59,E45)</f>
        <v/>
      </c>
      <c r="F64" s="330">
        <f>SUM(F63,F59,F45)</f>
        <v/>
      </c>
      <c r="G64" s="330">
        <f>SUM(G63,G59,G45)</f>
        <v/>
      </c>
      <c r="H64" s="330">
        <f>SUM(H63,H59,H45)</f>
        <v/>
      </c>
      <c r="I64" s="330">
        <f>SUM(I63,I59,I45)</f>
        <v/>
      </c>
      <c r="J64" s="330">
        <f>SUM(J63,J59,J45)</f>
        <v/>
      </c>
      <c r="K64" s="330">
        <f>SUM(K63,K59,K45)</f>
        <v/>
      </c>
      <c r="L64" s="330">
        <f>SUM(L63,L59,L45)</f>
        <v/>
      </c>
      <c r="M64" s="330">
        <f>SUM(M63,M59,M45)</f>
        <v/>
      </c>
      <c r="N64" s="330">
        <f>SUM(N63,N59,N45)</f>
        <v/>
      </c>
      <c r="O64" s="330">
        <f>SUM(O63,O59,O45)</f>
        <v/>
      </c>
      <c r="P64" s="1599">
        <f>SUM(P63,P59,P45)</f>
        <v/>
      </c>
      <c r="Q64" s="1684">
        <f>SUM(E64:P64)</f>
        <v/>
      </c>
      <c r="R64" s="2504" t="n"/>
      <c r="T64" s="2362" t="n"/>
      <c r="U64" s="2362" t="n"/>
      <c r="V64" s="2362" t="n"/>
      <c r="W64" s="2362" t="n"/>
      <c r="X64" s="2362" t="n"/>
    </row>
    <row r="65" spans="1:33">
      <c r="A65" s="2564" t="n"/>
      <c r="B65" s="2565" t="s">
        <v>260</v>
      </c>
      <c r="C65" s="1614" t="n"/>
      <c r="D65" s="2566" t="n"/>
      <c r="E65" s="1616">
        <f>E42-E64</f>
        <v/>
      </c>
      <c r="F65" s="1617">
        <f>F42-F64</f>
        <v/>
      </c>
      <c r="G65" s="1617">
        <f>G42-G64</f>
        <v/>
      </c>
      <c r="H65" s="1617">
        <f>H42-H64</f>
        <v/>
      </c>
      <c r="I65" s="1617">
        <f>I42-I64</f>
        <v/>
      </c>
      <c r="J65" s="1617">
        <f>J42-J64</f>
        <v/>
      </c>
      <c r="K65" s="1617">
        <f>K42-K64</f>
        <v/>
      </c>
      <c r="L65" s="1617">
        <f>L42-L64</f>
        <v/>
      </c>
      <c r="M65" s="1617">
        <f>M42-M64</f>
        <v/>
      </c>
      <c r="N65" s="1617">
        <f>N42-N64</f>
        <v/>
      </c>
      <c r="O65" s="1617">
        <f>O42-O64</f>
        <v/>
      </c>
      <c r="P65" s="1618">
        <f>P42-P64</f>
        <v/>
      </c>
      <c r="Q65" s="1608">
        <f>SUM(E65:P65)</f>
        <v/>
      </c>
    </row>
    <row r="66" spans="1:33">
      <c r="A66" s="2567" t="n"/>
      <c r="B66" s="2568" t="s">
        <v>261</v>
      </c>
      <c r="E66" s="1600" t="n"/>
      <c r="F66" s="1601" t="n"/>
      <c r="G66" s="1601" t="n"/>
      <c r="H66" s="1601" t="n"/>
      <c r="I66" s="1601" t="n"/>
      <c r="J66" s="1601" t="n"/>
      <c r="K66" s="1601" t="n"/>
      <c r="L66" s="1601" t="n"/>
      <c r="M66" s="1601" t="n"/>
      <c r="N66" s="1601" t="n"/>
      <c r="O66" s="1601" t="n"/>
      <c r="P66" s="1606" t="n"/>
      <c r="Q66" s="1608">
        <f>SUM(E66:P66)</f>
        <v/>
      </c>
    </row>
    <row customHeight="1" ht="15" r="67" s="1843" spans="1:33" thickBot="1">
      <c r="A67" s="2567" t="n"/>
      <c r="B67" s="2570" t="s">
        <v>262</v>
      </c>
      <c r="E67" s="1620">
        <f>E65-E66</f>
        <v/>
      </c>
      <c r="F67" s="1520">
        <f>F65-F66</f>
        <v/>
      </c>
      <c r="G67" s="1520">
        <f>G65-G66</f>
        <v/>
      </c>
      <c r="H67" s="1520">
        <f>H65-H66</f>
        <v/>
      </c>
      <c r="I67" s="1520">
        <f>I65-I66</f>
        <v/>
      </c>
      <c r="J67" s="1520">
        <f>J65-J66</f>
        <v/>
      </c>
      <c r="K67" s="1520">
        <f>K65-K66</f>
        <v/>
      </c>
      <c r="L67" s="1520">
        <f>L65-L66</f>
        <v/>
      </c>
      <c r="M67" s="1520">
        <f>M65-M66</f>
        <v/>
      </c>
      <c r="N67" s="1520">
        <f>N65-N66</f>
        <v/>
      </c>
      <c r="O67" s="1520">
        <f>O65-O66</f>
        <v/>
      </c>
      <c r="P67" s="1521">
        <f>P65-P66</f>
        <v/>
      </c>
      <c r="Q67" s="1621">
        <f>SUM(E67:P67)</f>
        <v/>
      </c>
      <c r="R67" s="224" t="n"/>
    </row>
    <row r="68" spans="1:33">
      <c r="A68" s="2567" t="n"/>
      <c r="B68" s="2571" t="n"/>
      <c r="C68" s="2572" t="n"/>
      <c r="D68" s="2573" t="s">
        <v>203</v>
      </c>
      <c r="E68" s="8" t="n">
        <v>26</v>
      </c>
      <c r="F68" s="8" t="n">
        <v>25</v>
      </c>
      <c r="G68" s="8" t="n">
        <v>25</v>
      </c>
      <c r="H68" s="8" t="n">
        <v>24</v>
      </c>
      <c r="I68" s="8" t="n">
        <v>25</v>
      </c>
      <c r="J68" s="8" t="n">
        <v>25</v>
      </c>
      <c r="K68" s="8" t="n">
        <v>27</v>
      </c>
      <c r="L68" s="8" t="n">
        <v>27</v>
      </c>
      <c r="M68" s="8" t="n">
        <v>27</v>
      </c>
      <c r="N68" s="8" t="n">
        <v>27</v>
      </c>
      <c r="O68" s="8" t="n">
        <v>27</v>
      </c>
      <c r="P68" s="8" t="n">
        <v>27</v>
      </c>
      <c r="Q68" s="232">
        <f>SUM(E68:P68)</f>
        <v/>
      </c>
      <c r="R68" s="301">
        <f>Q68/Q339</f>
        <v/>
      </c>
    </row>
    <row r="69" spans="1:33">
      <c r="A69" s="2567" t="n"/>
      <c r="B69" s="2571" t="n"/>
      <c r="C69" s="2572" t="n"/>
      <c r="D69" s="2573" t="s">
        <v>201</v>
      </c>
      <c r="E69" s="8">
        <f>E$303*E350/E$356</f>
        <v/>
      </c>
      <c r="F69" s="8">
        <f>F$303*F350/F$356</f>
        <v/>
      </c>
      <c r="G69" s="8">
        <f>G$303*G350/G$356</f>
        <v/>
      </c>
      <c r="H69" s="8">
        <f>H$303*H350/H$356</f>
        <v/>
      </c>
      <c r="I69" s="8">
        <f>I$303*I350/I$356</f>
        <v/>
      </c>
      <c r="J69" s="8">
        <f>J$303*J350/J$356</f>
        <v/>
      </c>
      <c r="K69" s="8">
        <f>K$303*K350/K$356</f>
        <v/>
      </c>
      <c r="L69" s="8">
        <f>L$303*L350/L$356</f>
        <v/>
      </c>
      <c r="M69" s="8">
        <f>M$303*M350/M$356</f>
        <v/>
      </c>
      <c r="N69" s="8">
        <f>N$303*N350/N$356</f>
        <v/>
      </c>
      <c r="O69" s="8">
        <f>O$303*O350/O$356</f>
        <v/>
      </c>
      <c r="P69" s="8">
        <f>P$303*P350/P$356</f>
        <v/>
      </c>
      <c r="Q69" s="241">
        <f>SUM(E69:P69)</f>
        <v/>
      </c>
      <c r="R69" s="224" t="n"/>
      <c r="T69" s="2584" t="n"/>
    </row>
    <row r="70" spans="1:33">
      <c r="A70" s="2567" t="n"/>
      <c r="B70" s="2574" t="n"/>
      <c r="C70" s="2575" t="n"/>
      <c r="D70" s="2576" t="s">
        <v>264</v>
      </c>
      <c r="E70" s="234">
        <f>E$334*E350/E355</f>
        <v/>
      </c>
      <c r="F70" s="234">
        <f>F$334*F350/F355</f>
        <v/>
      </c>
      <c r="G70" s="234">
        <f>G$334*G350/G355</f>
        <v/>
      </c>
      <c r="H70" s="234">
        <f>H$334*H350/H355</f>
        <v/>
      </c>
      <c r="I70" s="234">
        <f>I$334*I350/I355</f>
        <v/>
      </c>
      <c r="J70" s="234">
        <f>J$334*J350/J355</f>
        <v/>
      </c>
      <c r="K70" s="234">
        <f>K$334*K350/K355</f>
        <v/>
      </c>
      <c r="L70" s="234">
        <f>L$334*L350/L355</f>
        <v/>
      </c>
      <c r="M70" s="234">
        <f>M$334*M350/M355</f>
        <v/>
      </c>
      <c r="N70" s="234">
        <f>N$334*N350/N355</f>
        <v/>
      </c>
      <c r="O70" s="234">
        <f>O$334*O350/O355</f>
        <v/>
      </c>
      <c r="P70" s="234">
        <f>P$334*P350/P355</f>
        <v/>
      </c>
      <c r="Q70" s="232">
        <f>SUM(E70:P70)</f>
        <v/>
      </c>
      <c r="R70" s="224" t="n"/>
      <c r="T70" s="2585" t="n"/>
      <c r="U70" s="2422" t="n"/>
      <c r="V70" s="2422" t="n"/>
      <c r="W70" s="2422" t="n"/>
    </row>
    <row customHeight="1" ht="15" r="71" s="1843" spans="1:33" thickBot="1">
      <c r="A71" s="2586" t="n"/>
      <c r="B71" s="2578" t="n"/>
      <c r="C71" s="2579" t="n"/>
      <c r="D71" s="2580" t="s">
        <v>79</v>
      </c>
      <c r="E71" s="320">
        <f>E67+E69+E70</f>
        <v/>
      </c>
      <c r="F71" s="319">
        <f>F67+F69+F70</f>
        <v/>
      </c>
      <c r="G71" s="319">
        <f>G67+G69+G70</f>
        <v/>
      </c>
      <c r="H71" s="319">
        <f>H67+H69+H70</f>
        <v/>
      </c>
      <c r="I71" s="319">
        <f>I67+I69+I70</f>
        <v/>
      </c>
      <c r="J71" s="319">
        <f>J67+J69+J70</f>
        <v/>
      </c>
      <c r="K71" s="319">
        <f>K67+K69+K70</f>
        <v/>
      </c>
      <c r="L71" s="319">
        <f>L67+L69+L70</f>
        <v/>
      </c>
      <c r="M71" s="319">
        <f>M67+M69+M70</f>
        <v/>
      </c>
      <c r="N71" s="319">
        <f>N67+N69+N70</f>
        <v/>
      </c>
      <c r="O71" s="319">
        <f>O67+O69+O70</f>
        <v/>
      </c>
      <c r="P71" s="384">
        <f>P67+P69+P70</f>
        <v/>
      </c>
      <c r="Q71" s="318">
        <f>Q67+Q69+Q70</f>
        <v/>
      </c>
      <c r="R71" s="224" t="n"/>
    </row>
    <row customHeight="1" ht="16.5" outlineLevel="1" r="72" s="1843" spans="1:33" thickTop="1">
      <c r="A72" s="2587" t="s">
        <v>186</v>
      </c>
      <c r="B72" s="2588" t="n"/>
      <c r="C72" s="287" t="s">
        <v>243</v>
      </c>
      <c r="D72" s="2589" t="n"/>
      <c r="E72" s="298" t="n"/>
      <c r="F72" s="297" t="n"/>
      <c r="G72" s="297" t="n"/>
      <c r="H72" s="297" t="n"/>
      <c r="I72" s="297" t="n"/>
      <c r="J72" s="297" t="n"/>
      <c r="K72" s="297" t="n"/>
      <c r="L72" s="297" t="n"/>
      <c r="M72" s="388" t="n"/>
      <c r="N72" s="388" t="n"/>
      <c r="O72" s="388" t="n"/>
      <c r="P72" s="389" t="n"/>
      <c r="Q72" s="288">
        <f>SUM(E72:P72)</f>
        <v/>
      </c>
      <c r="S72" s="2395" t="n"/>
    </row>
    <row customFormat="1" customHeight="1" ht="18" outlineLevel="1" r="73" s="2422" spans="1:33">
      <c r="A73" s="2590" t="s">
        <v>188</v>
      </c>
      <c r="B73" s="2591" t="n"/>
      <c r="C73" s="1526" t="s">
        <v>245</v>
      </c>
      <c r="D73" s="2592" t="n"/>
      <c r="E73" s="1528" t="n"/>
      <c r="F73" s="1529" t="n"/>
      <c r="G73" s="1529" t="n"/>
      <c r="H73" s="1529" t="n"/>
      <c r="I73" s="1529" t="n"/>
      <c r="J73" s="1529" t="n"/>
      <c r="K73" s="1529" t="n"/>
      <c r="L73" s="1529" t="n"/>
      <c r="M73" s="1529" t="n"/>
      <c r="N73" s="1529" t="n"/>
      <c r="O73" s="1529" t="n"/>
      <c r="P73" s="1530" t="n"/>
      <c r="Q73" s="1531">
        <f>SUM(E73:P73)</f>
        <v/>
      </c>
      <c r="R73" s="2552" t="n"/>
      <c r="S73" s="2585" t="n"/>
      <c r="T73" s="2505" t="n"/>
      <c r="U73" s="2362" t="n"/>
      <c r="V73" s="2362" t="n"/>
      <c r="W73" s="2362" t="n"/>
      <c r="X73" s="2422" t="n"/>
      <c r="Y73" s="2422" t="n"/>
      <c r="Z73" s="2422" t="n"/>
      <c r="AA73" s="2422" t="n"/>
    </row>
    <row outlineLevel="1" r="74" s="1843" spans="1:33">
      <c r="A74" s="2593" t="n"/>
      <c r="B74" s="2594" t="s">
        <v>246</v>
      </c>
      <c r="C74" s="289" t="n"/>
      <c r="D74" s="2595" t="n"/>
      <c r="E74" s="1622">
        <f>SUM(E73)</f>
        <v/>
      </c>
      <c r="F74" s="1623">
        <f>SUM(F73)</f>
        <v/>
      </c>
      <c r="G74" s="1623">
        <f>SUM(G73)</f>
        <v/>
      </c>
      <c r="H74" s="1623">
        <f>SUM(H73)</f>
        <v/>
      </c>
      <c r="I74" s="1623">
        <f>SUM(I73)</f>
        <v/>
      </c>
      <c r="J74" s="1623">
        <f>SUM(J73)</f>
        <v/>
      </c>
      <c r="K74" s="1623">
        <f>SUM(K73)</f>
        <v/>
      </c>
      <c r="L74" s="1623">
        <f>SUM(L73)</f>
        <v/>
      </c>
      <c r="M74" s="1623">
        <f>SUM(M73)</f>
        <v/>
      </c>
      <c r="N74" s="1623">
        <f>SUM(N73)</f>
        <v/>
      </c>
      <c r="O74" s="1623">
        <f>SUM(O73)</f>
        <v/>
      </c>
      <c r="P74" s="1624">
        <f>SUM(P73)</f>
        <v/>
      </c>
      <c r="Q74" s="1625">
        <f>SUM(E74:P74)</f>
        <v/>
      </c>
    </row>
    <row customHeight="1" ht="15.75" outlineLevel="1" r="75" s="1843" spans="1:33">
      <c r="A75" s="2596" t="n"/>
      <c r="B75" s="2597" t="s">
        <v>247</v>
      </c>
      <c r="C75" s="1627" t="n"/>
      <c r="D75" s="2598" t="n"/>
      <c r="E75" s="1622" t="n"/>
      <c r="F75" s="1623" t="n"/>
      <c r="G75" s="1623" t="n"/>
      <c r="H75" s="1623" t="n"/>
      <c r="I75" s="1623" t="n"/>
      <c r="J75" s="1623" t="n"/>
      <c r="K75" s="1623" t="n"/>
      <c r="L75" s="1623" t="n"/>
      <c r="M75" s="1623" t="n"/>
      <c r="N75" s="1623" t="n"/>
      <c r="O75" s="1623" t="n"/>
      <c r="P75" s="1624" t="n"/>
      <c r="Q75" s="1625">
        <f>SUM(E75:P75)</f>
        <v/>
      </c>
    </row>
    <row customHeight="1" ht="15.75" outlineLevel="1" r="76" s="1843" spans="1:33">
      <c r="A76" s="2596" t="n"/>
      <c r="B76" s="2597" t="s">
        <v>248</v>
      </c>
      <c r="C76" s="1627" t="n"/>
      <c r="D76" s="2598" t="n"/>
      <c r="E76" s="277">
        <f>E74-E75</f>
        <v/>
      </c>
      <c r="F76" s="276">
        <f>F74-F75</f>
        <v/>
      </c>
      <c r="G76" s="276">
        <f>G74-G75</f>
        <v/>
      </c>
      <c r="H76" s="276">
        <f>H74-H75</f>
        <v/>
      </c>
      <c r="I76" s="276">
        <f>I74-I75</f>
        <v/>
      </c>
      <c r="J76" s="276">
        <f>J74-J75</f>
        <v/>
      </c>
      <c r="K76" s="276">
        <f>K74-K75</f>
        <v/>
      </c>
      <c r="L76" s="276">
        <f>L74-L75</f>
        <v/>
      </c>
      <c r="M76" s="276">
        <f>M74-M75</f>
        <v/>
      </c>
      <c r="N76" s="276">
        <f>N74-N75</f>
        <v/>
      </c>
      <c r="O76" s="276">
        <f>O74-O75</f>
        <v/>
      </c>
      <c r="P76" s="391">
        <f>P74-P75</f>
        <v/>
      </c>
      <c r="Q76" s="288">
        <f>SUM(E76:P76)</f>
        <v/>
      </c>
    </row>
    <row customHeight="1" ht="15.75" outlineLevel="1" r="77" s="1843" spans="1:33">
      <c r="A77" s="2596" t="n"/>
      <c r="B77" s="2599" t="n"/>
      <c r="C77" s="1696" t="n"/>
      <c r="D77" s="2600" t="s">
        <v>249</v>
      </c>
      <c r="E77" s="1698" t="n"/>
      <c r="F77" s="1629" t="n"/>
      <c r="G77" s="1629" t="n"/>
      <c r="H77" s="1629" t="n"/>
      <c r="I77" s="1629" t="n"/>
      <c r="J77" s="1629" t="n"/>
      <c r="K77" s="1629" t="n"/>
      <c r="L77" s="1629" t="n"/>
      <c r="M77" s="1629" t="n"/>
      <c r="N77" s="1629" t="n"/>
      <c r="O77" s="1629" t="n"/>
      <c r="P77" s="1630" t="n"/>
      <c r="Q77" s="1699">
        <f>SUM(E77:P77)</f>
        <v/>
      </c>
      <c r="T77" s="2582" t="n"/>
      <c r="U77" s="2601" t="n"/>
    </row>
    <row customHeight="1" ht="15.75" outlineLevel="1" r="78" s="1843" spans="1:33">
      <c r="A78" s="2596" t="n"/>
      <c r="B78" s="2588" t="n"/>
      <c r="C78" s="287" t="n"/>
      <c r="D78" s="2602" t="s">
        <v>250</v>
      </c>
      <c r="E78" s="283" t="n"/>
      <c r="F78" s="282" t="n"/>
      <c r="G78" s="282" t="n"/>
      <c r="H78" s="282" t="n"/>
      <c r="I78" s="282" t="n"/>
      <c r="J78" s="282" t="n"/>
      <c r="K78" s="282" t="n"/>
      <c r="L78" s="282" t="n"/>
      <c r="M78" s="282" t="n"/>
      <c r="N78" s="282" t="n"/>
      <c r="O78" s="282" t="n"/>
      <c r="P78" s="393" t="n"/>
      <c r="Q78" s="281">
        <f>SUM(E78:P78)</f>
        <v/>
      </c>
    </row>
    <row customHeight="1" ht="15.75" outlineLevel="1" r="79" s="1843" spans="1:33">
      <c r="A79" s="2603" t="n"/>
      <c r="B79" s="2588" t="n"/>
      <c r="C79" s="285" t="s">
        <v>251</v>
      </c>
      <c r="D79" s="2598" t="n"/>
      <c r="E79" s="1622">
        <f>SUM(E77:E78)</f>
        <v/>
      </c>
      <c r="F79" s="1623">
        <f>SUM(F77:F78)</f>
        <v/>
      </c>
      <c r="G79" s="1623">
        <f>SUM(G77:G78)</f>
        <v/>
      </c>
      <c r="H79" s="1623">
        <f>SUM(H77:H78)</f>
        <v/>
      </c>
      <c r="I79" s="1623">
        <f>SUM(I77:I78)</f>
        <v/>
      </c>
      <c r="J79" s="1623">
        <f>SUM(J77:J78)</f>
        <v/>
      </c>
      <c r="K79" s="1623">
        <f>SUM(K77:K78)</f>
        <v/>
      </c>
      <c r="L79" s="1623">
        <f>SUM(L77:L78)</f>
        <v/>
      </c>
      <c r="M79" s="1623">
        <f>SUM(M77:M78)</f>
        <v/>
      </c>
      <c r="N79" s="1623">
        <f>SUM(N77:N78)</f>
        <v/>
      </c>
      <c r="O79" s="1623">
        <f>SUM(O77:O78)</f>
        <v/>
      </c>
      <c r="P79" s="1624">
        <f>SUM(P77:P78)</f>
        <v/>
      </c>
      <c r="Q79" s="1625">
        <f>SUM(E79:P79)</f>
        <v/>
      </c>
    </row>
    <row customHeight="1" ht="15.75" outlineLevel="1" r="80" s="1843" spans="1:33">
      <c r="A80" s="2603" t="n"/>
      <c r="B80" s="2604" t="n"/>
      <c r="C80" s="1700" t="n"/>
      <c r="D80" s="2583" t="s">
        <v>187</v>
      </c>
      <c r="E80" s="1327" t="n">
        <v>93669.37</v>
      </c>
      <c r="F80" s="815" t="n">
        <v>96456.5</v>
      </c>
      <c r="G80" s="818" t="n">
        <v>90593.19</v>
      </c>
      <c r="H80" s="818" t="n">
        <v>94947.24999999999</v>
      </c>
      <c r="I80" s="818" t="n">
        <v>112056.2998</v>
      </c>
      <c r="J80" s="818" t="n">
        <v>110207.9958</v>
      </c>
      <c r="K80" s="818" t="n">
        <v>112056.2998</v>
      </c>
      <c r="L80" s="818" t="n">
        <v>112056.2998</v>
      </c>
      <c r="M80" s="818" t="n">
        <v>125873.3768</v>
      </c>
      <c r="N80" s="818" t="n">
        <v>112056.2998</v>
      </c>
      <c r="O80" s="818" t="n">
        <v>112056.2998</v>
      </c>
      <c r="P80" s="818" t="n">
        <v>127721.6808</v>
      </c>
      <c r="Q80" s="241">
        <f>SUM(E80:P80)</f>
        <v/>
      </c>
      <c r="R80" s="2527">
        <f>'[6]FY18 CFG'!Q80</f>
        <v/>
      </c>
      <c r="S80" s="2544" t="n"/>
      <c r="V80" s="2538">
        <f>Q80-R80</f>
        <v/>
      </c>
      <c r="W80" s="2538" t="n"/>
      <c r="X80" s="2377" t="n"/>
    </row>
    <row customFormat="1" customHeight="1" ht="15.75" outlineLevel="1" r="81" s="2362" spans="1:33">
      <c r="A81" s="2603" t="n"/>
      <c r="B81" s="2588" t="n"/>
      <c r="C81" s="287" t="n"/>
      <c r="D81" s="2382" t="s">
        <v>189</v>
      </c>
      <c r="E81" s="817" t="n"/>
      <c r="F81" s="818" t="n"/>
      <c r="G81" s="818" t="n"/>
      <c r="H81" s="818" t="n"/>
      <c r="I81" s="818" t="n"/>
      <c r="J81" s="818" t="n"/>
      <c r="K81" s="818" t="n"/>
      <c r="L81" s="818" t="n"/>
      <c r="M81" s="818" t="n"/>
      <c r="N81" s="818" t="n"/>
      <c r="O81" s="818" t="n"/>
      <c r="P81" s="819" t="n"/>
      <c r="Q81" s="241">
        <f>SUM(E81:P81)</f>
        <v/>
      </c>
      <c r="R81" s="2504" t="n"/>
      <c r="T81" s="2362" t="n"/>
      <c r="U81" s="2362" t="n"/>
      <c r="V81" s="2538" t="n"/>
      <c r="W81" s="2538" t="n"/>
      <c r="X81" s="2377" t="n"/>
    </row>
    <row customFormat="1" customHeight="1" ht="15.75" outlineLevel="1" r="82" s="2362" spans="1:33">
      <c r="A82" s="2603" t="n"/>
      <c r="B82" s="2588" t="n"/>
      <c r="C82" s="287" t="n"/>
      <c r="D82" s="2548" t="s">
        <v>252</v>
      </c>
      <c r="E82" s="1103">
        <f>E390</f>
        <v/>
      </c>
      <c r="F82" s="1103">
        <f>F390</f>
        <v/>
      </c>
      <c r="G82" s="1103">
        <f>G390</f>
        <v/>
      </c>
      <c r="H82" s="1103">
        <f>H390</f>
        <v/>
      </c>
      <c r="I82" s="1103">
        <f>I390</f>
        <v/>
      </c>
      <c r="J82" s="1103">
        <f>J390</f>
        <v/>
      </c>
      <c r="K82" s="1103">
        <f>K390</f>
        <v/>
      </c>
      <c r="L82" s="1103">
        <f>L390</f>
        <v/>
      </c>
      <c r="M82" s="1103">
        <f>M390</f>
        <v/>
      </c>
      <c r="N82" s="1103">
        <f>N390</f>
        <v/>
      </c>
      <c r="O82" s="1103">
        <f>O390</f>
        <v/>
      </c>
      <c r="P82" s="1103">
        <f>P390</f>
        <v/>
      </c>
      <c r="Q82" s="241">
        <f>SUM(E82:P82)</f>
        <v/>
      </c>
      <c r="R82" s="2504" t="n"/>
      <c r="T82" s="2362" t="n"/>
      <c r="U82" s="2362" t="n"/>
      <c r="V82" s="2538" t="n"/>
      <c r="W82" s="2538" t="n"/>
      <c r="X82" s="2377" t="n"/>
    </row>
    <row customFormat="1" customHeight="1" ht="15.75" outlineLevel="1" r="83" s="2362" spans="1:33">
      <c r="A83" s="2603" t="n"/>
      <c r="B83" s="2588" t="n"/>
      <c r="C83" s="287" t="n"/>
      <c r="D83" s="2382" t="s">
        <v>158</v>
      </c>
      <c r="E83" s="817" t="n">
        <v>1361.07</v>
      </c>
      <c r="F83" s="815" t="n">
        <v>1361.09</v>
      </c>
      <c r="G83" s="818" t="n">
        <v>1361.06</v>
      </c>
      <c r="H83" s="818" t="n">
        <v>1361.08</v>
      </c>
      <c r="I83" s="818" t="n">
        <v>1641.0928</v>
      </c>
      <c r="J83" s="818" t="n">
        <v>1641.0928</v>
      </c>
      <c r="K83" s="818" t="n">
        <v>1641.0928</v>
      </c>
      <c r="L83" s="818" t="n">
        <v>1641.0928</v>
      </c>
      <c r="M83" s="818" t="n">
        <v>1641.0928</v>
      </c>
      <c r="N83" s="818" t="n">
        <v>1641.0928</v>
      </c>
      <c r="O83" s="818" t="n">
        <v>1641.0928</v>
      </c>
      <c r="P83" s="819" t="n">
        <v>1641.0928</v>
      </c>
      <c r="Q83" s="241">
        <f>SUM(E83:P83)</f>
        <v/>
      </c>
      <c r="R83" s="2504" t="n"/>
      <c r="T83" s="2362" t="n"/>
      <c r="U83" s="2362" t="n"/>
      <c r="V83" s="2538" t="n"/>
      <c r="W83" s="2538" t="n"/>
      <c r="X83" s="2377" t="n"/>
    </row>
    <row customFormat="1" customHeight="1" ht="15.75" outlineLevel="1" r="84" s="2362" spans="1:33">
      <c r="A84" s="2603" t="n"/>
      <c r="B84" s="2588" t="n"/>
      <c r="C84" s="287" t="n"/>
      <c r="D84" s="2382" t="s">
        <v>192</v>
      </c>
      <c r="E84" s="1327" t="n"/>
      <c r="F84" s="815" t="n"/>
      <c r="G84" s="818" t="n"/>
      <c r="H84" s="818" t="n">
        <v>10.05</v>
      </c>
      <c r="I84" s="818" t="n"/>
      <c r="J84" s="818" t="n"/>
      <c r="K84" s="818" t="n"/>
      <c r="L84" s="818" t="n"/>
      <c r="M84" s="818" t="n"/>
      <c r="N84" s="818" t="n"/>
      <c r="O84" s="818" t="n"/>
      <c r="P84" s="819" t="n"/>
      <c r="Q84" s="241">
        <f>SUM(E84:P84)</f>
        <v/>
      </c>
      <c r="R84" s="2504" t="n"/>
      <c r="T84" s="2362" t="n"/>
      <c r="U84" s="2362" t="n"/>
      <c r="V84" s="2538" t="n"/>
      <c r="W84" s="2538" t="n"/>
      <c r="X84" s="2377" t="n"/>
    </row>
    <row customFormat="1" customHeight="1" ht="15.75" outlineLevel="1" r="85" s="2362" spans="1:33">
      <c r="A85" s="2603" t="n"/>
      <c r="B85" s="2588" t="n">
        <v>12163</v>
      </c>
      <c r="C85" s="287" t="n"/>
      <c r="D85" s="2382" t="s">
        <v>193</v>
      </c>
      <c r="E85" s="1327" t="n"/>
      <c r="F85" s="815" t="n"/>
      <c r="G85" s="818" t="n">
        <v>30497.98</v>
      </c>
      <c r="H85" s="818" t="n"/>
      <c r="I85" s="818" t="n">
        <v>21675</v>
      </c>
      <c r="J85" s="818" t="n">
        <v>21675</v>
      </c>
      <c r="K85" s="818" t="n">
        <v>21675</v>
      </c>
      <c r="L85" s="818" t="n">
        <v>21675</v>
      </c>
      <c r="M85" s="818" t="n">
        <v>21675</v>
      </c>
      <c r="N85" s="818" t="n">
        <v>21675</v>
      </c>
      <c r="O85" s="818" t="n">
        <v>21675</v>
      </c>
      <c r="P85" s="819" t="n">
        <v>21675</v>
      </c>
      <c r="Q85" s="241">
        <f>SUM(E85:P85)</f>
        <v/>
      </c>
      <c r="R85" s="2552" t="n"/>
      <c r="T85" s="2362" t="n"/>
      <c r="U85" s="2362" t="n"/>
      <c r="V85" s="2538" t="n"/>
      <c r="W85" s="2538" t="n"/>
      <c r="X85" s="2377" t="n"/>
    </row>
    <row customFormat="1" outlineLevel="1" r="86" s="2362" spans="1:33">
      <c r="A86" s="2605" t="n"/>
      <c r="B86" s="2588" t="n"/>
      <c r="C86" s="287" t="n"/>
      <c r="D86" s="2382" t="s">
        <v>213</v>
      </c>
      <c r="E86" s="1327" t="n">
        <v>3406.47</v>
      </c>
      <c r="F86" s="815" t="n">
        <v>11961.58</v>
      </c>
      <c r="G86" s="818" t="n">
        <v>2608.92</v>
      </c>
      <c r="H86" s="818" t="n">
        <v>9191.110000000001</v>
      </c>
      <c r="I86" s="818" t="n">
        <v>7600</v>
      </c>
      <c r="J86" s="818" t="n">
        <v>7600</v>
      </c>
      <c r="K86" s="818" t="n">
        <v>7600</v>
      </c>
      <c r="L86" s="818" t="n">
        <v>7600</v>
      </c>
      <c r="M86" s="818" t="n">
        <v>7600</v>
      </c>
      <c r="N86" s="818" t="n">
        <v>7600</v>
      </c>
      <c r="O86" s="818" t="n">
        <v>7600</v>
      </c>
      <c r="P86" s="819" t="n">
        <v>7600</v>
      </c>
      <c r="Q86" s="241">
        <f>SUM(E86:P86)</f>
        <v/>
      </c>
      <c r="R86" s="2504" t="n"/>
      <c r="T86" s="2362" t="n"/>
      <c r="U86" s="2362" t="n"/>
      <c r="V86" s="2538" t="n"/>
      <c r="W86" s="2538" t="n"/>
      <c r="X86" s="2377" t="n"/>
    </row>
    <row customFormat="1" customHeight="1" ht="15.75" outlineLevel="1" r="87" s="2362" spans="1:33">
      <c r="A87" s="2603" t="n"/>
      <c r="B87" s="2588" t="n"/>
      <c r="C87" s="287" t="n"/>
      <c r="D87" s="2382" t="s">
        <v>253</v>
      </c>
      <c r="E87" s="817" t="n"/>
      <c r="F87" s="818" t="n"/>
      <c r="G87" s="818" t="n"/>
      <c r="H87" s="818" t="n"/>
      <c r="I87" s="818" t="n"/>
      <c r="J87" s="818" t="n"/>
      <c r="K87" s="818" t="n"/>
      <c r="L87" s="818" t="n"/>
      <c r="M87" s="818" t="n"/>
      <c r="N87" s="818" t="n"/>
      <c r="O87" s="818" t="n"/>
      <c r="P87" s="819" t="n"/>
      <c r="Q87" s="241">
        <f>SUM(E87:P87)</f>
        <v/>
      </c>
      <c r="R87" s="2504" t="n"/>
      <c r="T87" s="2362" t="n"/>
      <c r="U87" s="2362" t="n"/>
      <c r="V87" s="2538" t="n"/>
      <c r="W87" s="2538" t="n"/>
      <c r="X87" s="2377" t="n"/>
    </row>
    <row customFormat="1" customHeight="1" ht="15.75" outlineLevel="1" r="88" s="2362" spans="1:33">
      <c r="A88" s="2603" t="n"/>
      <c r="B88" s="2588" t="n"/>
      <c r="C88" s="287" t="n"/>
      <c r="D88" s="2382" t="s">
        <v>254</v>
      </c>
      <c r="E88" s="1327" t="n"/>
      <c r="F88" s="815" t="n"/>
      <c r="G88" s="815" t="n"/>
      <c r="H88" s="815" t="n"/>
      <c r="I88" s="815" t="n"/>
      <c r="J88" s="815" t="n"/>
      <c r="K88" s="815" t="n"/>
      <c r="L88" s="815" t="n"/>
      <c r="M88" s="815" t="n"/>
      <c r="N88" s="815" t="n"/>
      <c r="O88" s="815" t="n"/>
      <c r="P88" s="816" t="n"/>
      <c r="Q88" s="241">
        <f>SUM(E88:P88)</f>
        <v/>
      </c>
      <c r="R88" s="2504" t="n"/>
      <c r="T88" s="2362" t="n"/>
      <c r="U88" s="2362" t="n"/>
      <c r="V88" s="2538" t="n"/>
      <c r="W88" s="2538" t="n"/>
      <c r="X88" s="2377" t="n"/>
    </row>
    <row customFormat="1" customHeight="1" ht="15.75" outlineLevel="1" r="89" s="2362" spans="1:33">
      <c r="A89" s="2603" t="n"/>
      <c r="B89" s="2588" t="n"/>
      <c r="C89" s="287" t="n"/>
      <c r="D89" s="2382" t="s">
        <v>255</v>
      </c>
      <c r="E89" s="1327" t="n">
        <v>740.9999999999999</v>
      </c>
      <c r="F89" s="815" t="n">
        <v>741</v>
      </c>
      <c r="G89" s="818" t="n">
        <v>741</v>
      </c>
      <c r="H89" s="820" t="n">
        <v>741</v>
      </c>
      <c r="I89" s="818" t="n"/>
      <c r="J89" s="818" t="n"/>
      <c r="K89" s="818" t="n"/>
      <c r="L89" s="818" t="n"/>
      <c r="M89" s="818" t="n"/>
      <c r="N89" s="818" t="n"/>
      <c r="O89" s="818" t="n"/>
      <c r="P89" s="819" t="n"/>
      <c r="Q89" s="241">
        <f>SUM(E89:P89)</f>
        <v/>
      </c>
      <c r="R89" s="2504" t="n"/>
      <c r="T89" s="2362" t="n"/>
      <c r="U89" s="2362" t="n"/>
      <c r="V89" s="2538" t="n"/>
      <c r="W89" s="2538" t="n"/>
      <c r="X89" s="2377" t="n"/>
    </row>
    <row customFormat="1" outlineLevel="1" r="90" s="2362" spans="1:33">
      <c r="A90" s="2605" t="n"/>
      <c r="B90" s="2588" t="n"/>
      <c r="C90" s="395" t="n"/>
      <c r="D90" s="2554" t="s">
        <v>256</v>
      </c>
      <c r="E90" s="835">
        <f>E443-E432</f>
        <v/>
      </c>
      <c r="F90" s="835">
        <f>F443-F432</f>
        <v/>
      </c>
      <c r="G90" s="835">
        <f>G443-G432</f>
        <v/>
      </c>
      <c r="H90" s="835">
        <f>H443-H432</f>
        <v/>
      </c>
      <c r="I90" s="835">
        <f>I443-I432</f>
        <v/>
      </c>
      <c r="J90" s="835">
        <f>J443-J432</f>
        <v/>
      </c>
      <c r="K90" s="835">
        <f>K443-K432</f>
        <v/>
      </c>
      <c r="L90" s="835">
        <f>L443-L432</f>
        <v/>
      </c>
      <c r="M90" s="835">
        <f>M443-M432</f>
        <v/>
      </c>
      <c r="N90" s="835">
        <f>N443-N432</f>
        <v/>
      </c>
      <c r="O90" s="835">
        <f>O443-O432</f>
        <v/>
      </c>
      <c r="P90" s="835">
        <f>P443-P432</f>
        <v/>
      </c>
      <c r="Q90" s="232">
        <f>SUM(E90:P90)</f>
        <v/>
      </c>
      <c r="R90" s="2555" t="n"/>
      <c r="T90" s="2362" t="n"/>
      <c r="U90" s="2362" t="n"/>
      <c r="V90" s="2538" t="n"/>
      <c r="W90" s="2538" t="n"/>
      <c r="X90" s="2377" t="n"/>
    </row>
    <row customFormat="1" customHeight="1" ht="15.75" outlineLevel="1" r="91" s="2362" spans="1:33">
      <c r="A91" s="2603" t="n"/>
      <c r="B91" s="2588" t="n"/>
      <c r="C91" s="287" t="n"/>
      <c r="D91" s="2556" t="s">
        <v>257</v>
      </c>
      <c r="E91" s="234" t="n"/>
      <c r="F91" s="233" t="n"/>
      <c r="G91" s="233" t="n"/>
      <c r="H91" s="233" t="n"/>
      <c r="I91" s="233" t="n"/>
      <c r="J91" s="233" t="n"/>
      <c r="K91" s="233" t="n"/>
      <c r="L91" s="233" t="n"/>
      <c r="M91" s="233" t="n"/>
      <c r="N91" s="233" t="n"/>
      <c r="O91" s="233" t="n"/>
      <c r="P91" s="380" t="n"/>
      <c r="Q91" s="232">
        <f>SUM(E91:P91)</f>
        <v/>
      </c>
      <c r="R91" s="2504" t="n"/>
      <c r="T91" s="2362" t="n"/>
      <c r="U91" s="2362" t="n"/>
      <c r="V91" s="2362" t="n"/>
      <c r="W91" s="2362" t="n"/>
      <c r="X91" s="2362" t="n"/>
    </row>
    <row customFormat="1" customHeight="1" ht="15.75" outlineLevel="1" r="92" s="2362" spans="1:33">
      <c r="A92" s="2603" t="n"/>
      <c r="B92" s="2588" t="n"/>
      <c r="C92" s="287" t="n"/>
      <c r="D92" s="2556" t="s">
        <v>258</v>
      </c>
      <c r="E92" s="234" t="n"/>
      <c r="F92" s="233" t="n"/>
      <c r="G92" s="233" t="n"/>
      <c r="H92" s="233" t="n"/>
      <c r="I92" s="233" t="n"/>
      <c r="J92" s="233" t="n"/>
      <c r="K92" s="233" t="n"/>
      <c r="L92" s="233" t="n"/>
      <c r="M92" s="233" t="n"/>
      <c r="N92" s="233" t="n"/>
      <c r="O92" s="233" t="n"/>
      <c r="P92" s="380" t="n"/>
      <c r="Q92" s="232">
        <f>SUM(E92:P92)</f>
        <v/>
      </c>
      <c r="R92" s="2504" t="n"/>
      <c r="T92" s="2362" t="n"/>
      <c r="U92" s="2362" t="n"/>
      <c r="V92" s="2362" t="n"/>
      <c r="W92" s="2362" t="n"/>
      <c r="X92" s="2362" t="n"/>
    </row>
    <row customFormat="1" customHeight="1" ht="15.75" outlineLevel="1" r="93" s="2362" spans="1:33">
      <c r="A93" s="2603" t="n"/>
      <c r="B93" s="2588" t="n"/>
      <c r="C93" s="285" t="s">
        <v>214</v>
      </c>
      <c r="D93" s="2595" t="n"/>
      <c r="E93" s="283">
        <f>SUM(E80:E92)</f>
        <v/>
      </c>
      <c r="F93" s="282">
        <f>SUM(F80:F92)</f>
        <v/>
      </c>
      <c r="G93" s="282">
        <f>SUM(G80:G92)</f>
        <v/>
      </c>
      <c r="H93" s="282">
        <f>SUM(H80:H92)</f>
        <v/>
      </c>
      <c r="I93" s="282">
        <f>SUM(I80:I92)</f>
        <v/>
      </c>
      <c r="J93" s="282">
        <f>SUM(J80:J92)</f>
        <v/>
      </c>
      <c r="K93" s="282">
        <f>SUM(K80:K92)</f>
        <v/>
      </c>
      <c r="L93" s="282">
        <f>SUM(L80:L92)</f>
        <v/>
      </c>
      <c r="M93" s="282">
        <f>SUM(M80:M92)</f>
        <v/>
      </c>
      <c r="N93" s="282">
        <f>SUM(N80:N92)</f>
        <v/>
      </c>
      <c r="O93" s="282">
        <f>SUM(O80:O92)</f>
        <v/>
      </c>
      <c r="P93" s="393">
        <f>SUM(P80:P92)</f>
        <v/>
      </c>
      <c r="Q93" s="281">
        <f>SUM(E93:P93)</f>
        <v/>
      </c>
      <c r="R93" s="2504" t="n"/>
      <c r="T93" s="2362" t="n"/>
      <c r="U93" s="2362" t="n"/>
      <c r="V93" s="2362" t="n"/>
      <c r="W93" s="2362" t="n"/>
      <c r="X93" s="2362" t="n"/>
    </row>
    <row customFormat="1" customHeight="1" ht="15.75" outlineLevel="1" r="94" s="2362" spans="1:33">
      <c r="A94" s="2606" t="n"/>
      <c r="B94" s="2588" t="n"/>
      <c r="C94" s="1696" t="n"/>
      <c r="D94" s="2558" t="s">
        <v>232</v>
      </c>
      <c r="E94" s="396">
        <f>E373</f>
        <v/>
      </c>
      <c r="F94" s="396">
        <f>F373</f>
        <v/>
      </c>
      <c r="G94" s="396">
        <f>G373</f>
        <v/>
      </c>
      <c r="H94" s="396">
        <f>H373</f>
        <v/>
      </c>
      <c r="I94" s="396">
        <f>I373</f>
        <v/>
      </c>
      <c r="J94" s="396">
        <f>J373</f>
        <v/>
      </c>
      <c r="K94" s="396">
        <f>K373</f>
        <v/>
      </c>
      <c r="L94" s="396">
        <f>L373</f>
        <v/>
      </c>
      <c r="M94" s="396">
        <f>M373</f>
        <v/>
      </c>
      <c r="N94" s="396">
        <f>N373</f>
        <v/>
      </c>
      <c r="O94" s="396">
        <f>O373</f>
        <v/>
      </c>
      <c r="P94" s="396">
        <f>P373</f>
        <v/>
      </c>
      <c r="Q94" s="241">
        <f>SUM(E94:P94)</f>
        <v/>
      </c>
      <c r="R94" s="2504" t="n"/>
      <c r="T94" s="2362" t="n"/>
      <c r="U94" s="2362" t="n"/>
      <c r="V94" s="2362" t="n"/>
      <c r="W94" s="2362" t="n"/>
      <c r="X94" s="2362" t="n"/>
    </row>
    <row customFormat="1" customHeight="1" ht="15.75" outlineLevel="1" r="95" s="2362" spans="1:33">
      <c r="A95" s="2606" t="n"/>
      <c r="B95" s="2588" t="n"/>
      <c r="C95" s="287" t="n"/>
      <c r="D95" s="2560" t="s">
        <v>161</v>
      </c>
      <c r="E95" s="396">
        <f>E421+E432</f>
        <v/>
      </c>
      <c r="F95" s="396">
        <f>F421+F432</f>
        <v/>
      </c>
      <c r="G95" s="396">
        <f>G421+G432</f>
        <v/>
      </c>
      <c r="H95" s="396">
        <f>H421+H432</f>
        <v/>
      </c>
      <c r="I95" s="396">
        <f>I421+I432</f>
        <v/>
      </c>
      <c r="J95" s="396">
        <f>J421+J432</f>
        <v/>
      </c>
      <c r="K95" s="396">
        <f>K421+K432</f>
        <v/>
      </c>
      <c r="L95" s="396">
        <f>L421+L432</f>
        <v/>
      </c>
      <c r="M95" s="396">
        <f>M421+M432</f>
        <v/>
      </c>
      <c r="N95" s="396">
        <f>N421+N432</f>
        <v/>
      </c>
      <c r="O95" s="396">
        <f>O421+O432</f>
        <v/>
      </c>
      <c r="P95" s="396">
        <f>P421+P432</f>
        <v/>
      </c>
      <c r="Q95" s="241">
        <f>SUM(E95:P95)</f>
        <v/>
      </c>
      <c r="R95" s="2504" t="n"/>
      <c r="T95" s="2362" t="n"/>
      <c r="U95" s="2362" t="n"/>
      <c r="V95" s="2362" t="n"/>
      <c r="W95" s="2362" t="n"/>
      <c r="X95" s="2362" t="n"/>
    </row>
    <row customFormat="1" customHeight="1" ht="15.75" outlineLevel="1" r="96" s="2362" spans="1:33">
      <c r="A96" s="2606" t="n"/>
      <c r="B96" s="2588" t="n"/>
      <c r="C96" s="397" t="n"/>
      <c r="D96" s="2561" t="s">
        <v>215</v>
      </c>
      <c r="E96" s="386">
        <f>E407*E102/E339</f>
        <v/>
      </c>
      <c r="F96" s="386">
        <f>F407*F102/F339</f>
        <v/>
      </c>
      <c r="G96" s="386">
        <f>G407*G102/G339</f>
        <v/>
      </c>
      <c r="H96" s="386">
        <f>H407*H102/H339</f>
        <v/>
      </c>
      <c r="I96" s="386">
        <f>I407*I102/I339</f>
        <v/>
      </c>
      <c r="J96" s="386">
        <f>J407*J102/J339</f>
        <v/>
      </c>
      <c r="K96" s="386">
        <f>K407*K102/K339</f>
        <v/>
      </c>
      <c r="L96" s="386">
        <f>L407*L102/L339</f>
        <v/>
      </c>
      <c r="M96" s="386">
        <f>M407*M102/M339</f>
        <v/>
      </c>
      <c r="N96" s="386">
        <f>N407*N102/N339</f>
        <v/>
      </c>
      <c r="O96" s="386">
        <f>O407*O102/O339</f>
        <v/>
      </c>
      <c r="P96" s="386">
        <f>P407*P102/P339</f>
        <v/>
      </c>
      <c r="Q96" s="232">
        <f>SUM(E96:P96)</f>
        <v/>
      </c>
      <c r="R96" s="2504" t="n"/>
      <c r="T96" s="2362" t="n"/>
      <c r="U96" s="2362" t="n"/>
      <c r="V96" s="2362" t="n"/>
      <c r="W96" s="2362" t="n"/>
      <c r="X96" s="2362" t="n"/>
    </row>
    <row customHeight="1" ht="15.75" outlineLevel="1" r="97" s="1843" spans="1:33">
      <c r="A97" s="2606" t="n"/>
      <c r="B97" s="2588" t="n"/>
      <c r="C97" s="285" t="s">
        <v>217</v>
      </c>
      <c r="D97" s="2607" t="n"/>
      <c r="E97" s="234">
        <f>SUM(E94:E96)</f>
        <v/>
      </c>
      <c r="F97" s="233">
        <f>SUM(F94:F96)</f>
        <v/>
      </c>
      <c r="G97" s="233">
        <f>SUM(G94:G96)</f>
        <v/>
      </c>
      <c r="H97" s="233">
        <f>SUM(H94:H96)</f>
        <v/>
      </c>
      <c r="I97" s="233">
        <f>SUM(I94:I96)</f>
        <v/>
      </c>
      <c r="J97" s="233">
        <f>SUM(J94:J96)</f>
        <v/>
      </c>
      <c r="K97" s="233">
        <f>SUM(K94:K96)</f>
        <v/>
      </c>
      <c r="L97" s="233">
        <f>SUM(L94:L96)</f>
        <v/>
      </c>
      <c r="M97" s="233">
        <f>SUM(M94:M96)</f>
        <v/>
      </c>
      <c r="N97" s="233">
        <f>SUM(N94:N96)</f>
        <v/>
      </c>
      <c r="O97" s="233">
        <f>SUM(O94:O96)</f>
        <v/>
      </c>
      <c r="P97" s="380">
        <f>SUM(P94:P96)</f>
        <v/>
      </c>
      <c r="Q97" s="232">
        <f>SUM(E97:P97)</f>
        <v/>
      </c>
    </row>
    <row outlineLevel="1" r="98" s="1843" spans="1:33">
      <c r="A98" s="2608" t="n"/>
      <c r="B98" s="2608" t="s">
        <v>259</v>
      </c>
      <c r="C98" s="405" t="n"/>
      <c r="D98" s="2609" t="n"/>
      <c r="E98" s="277">
        <f>SUM(E97,E93,E79)</f>
        <v/>
      </c>
      <c r="F98" s="276">
        <f>SUM(F97,F93,F79)</f>
        <v/>
      </c>
      <c r="G98" s="276">
        <f>SUM(G97,G93,G79)</f>
        <v/>
      </c>
      <c r="H98" s="276">
        <f>SUM(H97,H93,H79)</f>
        <v/>
      </c>
      <c r="I98" s="276">
        <f>SUM(I97,I93,I79)</f>
        <v/>
      </c>
      <c r="J98" s="276">
        <f>SUM(J97,J93,J79)</f>
        <v/>
      </c>
      <c r="K98" s="276">
        <f>SUM(K97,K93,K79)</f>
        <v/>
      </c>
      <c r="L98" s="276">
        <f>SUM(L97,L93,L79)</f>
        <v/>
      </c>
      <c r="M98" s="276">
        <f>SUM(M97,M93,M79)</f>
        <v/>
      </c>
      <c r="N98" s="276">
        <f>SUM(N97,N93,N79)</f>
        <v/>
      </c>
      <c r="O98" s="276">
        <f>SUM(O97,O93,O79)</f>
        <v/>
      </c>
      <c r="P98" s="1630">
        <f>SUM(P97,P93,P79)</f>
        <v/>
      </c>
      <c r="Q98" s="1699">
        <f>SUM(E98:P98)</f>
        <v/>
      </c>
    </row>
    <row r="99" spans="1:33">
      <c r="A99" s="2610" t="n"/>
      <c r="B99" s="2611" t="s">
        <v>260</v>
      </c>
      <c r="C99" s="1632" t="n"/>
      <c r="D99" s="2612" t="n"/>
      <c r="E99" s="1634">
        <f>E76-E98</f>
        <v/>
      </c>
      <c r="F99" s="1635">
        <f>F76-F98</f>
        <v/>
      </c>
      <c r="G99" s="1635">
        <f>G76-G98</f>
        <v/>
      </c>
      <c r="H99" s="1635">
        <f>H76-H98</f>
        <v/>
      </c>
      <c r="I99" s="1635">
        <f>I76-I98</f>
        <v/>
      </c>
      <c r="J99" s="1635">
        <f>J76-J98</f>
        <v/>
      </c>
      <c r="K99" s="1635">
        <f>K76-K98</f>
        <v/>
      </c>
      <c r="L99" s="1635">
        <f>L76-L98</f>
        <v/>
      </c>
      <c r="M99" s="1635">
        <f>M76-M98</f>
        <v/>
      </c>
      <c r="N99" s="1635">
        <f>N76-N98</f>
        <v/>
      </c>
      <c r="O99" s="1635">
        <f>O76-O98</f>
        <v/>
      </c>
      <c r="P99" s="1636">
        <f>P76-P98</f>
        <v/>
      </c>
      <c r="Q99" s="1637">
        <f>SUM(E99:P99)</f>
        <v/>
      </c>
    </row>
    <row r="100" spans="1:33">
      <c r="A100" s="2608" t="n"/>
      <c r="B100" s="2613" t="s">
        <v>261</v>
      </c>
      <c r="E100" s="1622" t="n"/>
      <c r="F100" s="1623" t="n"/>
      <c r="G100" s="1623" t="n"/>
      <c r="H100" s="1623" t="n"/>
      <c r="I100" s="1623" t="n"/>
      <c r="J100" s="1623" t="n"/>
      <c r="K100" s="1623" t="n"/>
      <c r="L100" s="1623" t="n"/>
      <c r="M100" s="1623" t="n"/>
      <c r="N100" s="1623" t="n"/>
      <c r="O100" s="1623" t="n"/>
      <c r="P100" s="1624" t="n"/>
      <c r="Q100" s="1637">
        <f>SUM(E100:P100)</f>
        <v/>
      </c>
    </row>
    <row customHeight="1" ht="15" r="101" s="1843" spans="1:33" thickBot="1">
      <c r="A101" s="2614" t="n"/>
      <c r="B101" s="2615" t="s">
        <v>262</v>
      </c>
      <c r="E101" s="1638">
        <f>E99-E100</f>
        <v/>
      </c>
      <c r="F101" s="1534">
        <f>F99-F100</f>
        <v/>
      </c>
      <c r="G101" s="1534">
        <f>G99-G100</f>
        <v/>
      </c>
      <c r="H101" s="1534">
        <f>H99-H100</f>
        <v/>
      </c>
      <c r="I101" s="1534">
        <f>I99-I100</f>
        <v/>
      </c>
      <c r="J101" s="1534">
        <f>J99-J100</f>
        <v/>
      </c>
      <c r="K101" s="1534">
        <f>K99-K100</f>
        <v/>
      </c>
      <c r="L101" s="1534">
        <f>L99-L100</f>
        <v/>
      </c>
      <c r="M101" s="1534">
        <f>M99-M100</f>
        <v/>
      </c>
      <c r="N101" s="1534">
        <f>N99-N100</f>
        <v/>
      </c>
      <c r="O101" s="1534">
        <f>O99-O100</f>
        <v/>
      </c>
      <c r="P101" s="1535">
        <f>P99-P100</f>
        <v/>
      </c>
      <c r="Q101" s="1639">
        <f>SUM(E101:P101)</f>
        <v/>
      </c>
      <c r="R101" s="224" t="n"/>
    </row>
    <row r="102" spans="1:33">
      <c r="A102" s="2614" t="n"/>
      <c r="B102" s="2616" t="n"/>
      <c r="C102" s="2617" t="n"/>
      <c r="D102" s="2573" t="s">
        <v>203</v>
      </c>
      <c r="E102" s="8" t="n">
        <v>1</v>
      </c>
      <c r="F102" s="8" t="n">
        <v>1</v>
      </c>
      <c r="G102" s="8" t="n">
        <v>1</v>
      </c>
      <c r="H102" s="8" t="n">
        <v>1</v>
      </c>
      <c r="I102" s="8" t="n">
        <v>1</v>
      </c>
      <c r="J102" s="8" t="n">
        <v>1</v>
      </c>
      <c r="K102" s="8" t="n">
        <v>1</v>
      </c>
      <c r="L102" s="8" t="n">
        <v>1</v>
      </c>
      <c r="M102" s="8" t="n">
        <v>1</v>
      </c>
      <c r="N102" s="8" t="n">
        <v>1</v>
      </c>
      <c r="O102" s="8" t="n">
        <v>1</v>
      </c>
      <c r="P102" s="8" t="n">
        <v>1</v>
      </c>
      <c r="Q102" s="241">
        <f>SUM(E102:P102)</f>
        <v/>
      </c>
      <c r="R102" s="224" t="n"/>
    </row>
    <row r="103" spans="1:33">
      <c r="A103" s="2614" t="n"/>
      <c r="B103" s="2616" t="n"/>
      <c r="C103" s="2617" t="n"/>
      <c r="D103" s="2573" t="s">
        <v>201</v>
      </c>
      <c r="E103" s="8">
        <f>E$303*E342/E$356</f>
        <v/>
      </c>
      <c r="F103" s="8">
        <f>F$303*F342/F$356</f>
        <v/>
      </c>
      <c r="G103" s="8">
        <f>G$303*G342/G$356</f>
        <v/>
      </c>
      <c r="H103" s="8">
        <f>H$303*H342/H$356</f>
        <v/>
      </c>
      <c r="I103" s="8">
        <f>I$303*I342/I$356</f>
        <v/>
      </c>
      <c r="J103" s="8">
        <f>J$303*J342/J$356</f>
        <v/>
      </c>
      <c r="K103" s="8">
        <f>K$303*K342/K$356</f>
        <v/>
      </c>
      <c r="L103" s="8">
        <f>L$303*L342/L$356</f>
        <v/>
      </c>
      <c r="M103" s="8">
        <f>M$303*M342/M$356</f>
        <v/>
      </c>
      <c r="N103" s="8">
        <f>N$303*N342/N$356</f>
        <v/>
      </c>
      <c r="O103" s="8">
        <f>O$303*O342/O$356</f>
        <v/>
      </c>
      <c r="P103" s="8">
        <f>P$303*P342/P$356</f>
        <v/>
      </c>
      <c r="Q103" s="241">
        <f>SUM(E103:P103)</f>
        <v/>
      </c>
      <c r="R103" s="224" t="n"/>
      <c r="T103" s="2584" t="n"/>
    </row>
    <row r="104" spans="1:33">
      <c r="A104" s="2614" t="n"/>
      <c r="B104" s="2618" t="n"/>
      <c r="C104" s="2619" t="n"/>
      <c r="D104" s="2576" t="s">
        <v>264</v>
      </c>
      <c r="E104" s="234" t="n">
        <v>0</v>
      </c>
      <c r="F104" s="233" t="n">
        <v>0</v>
      </c>
      <c r="G104" s="233" t="n">
        <v>0</v>
      </c>
      <c r="H104" s="233" t="n">
        <v>0</v>
      </c>
      <c r="I104" s="233" t="n">
        <v>0</v>
      </c>
      <c r="J104" s="233" t="n">
        <v>0</v>
      </c>
      <c r="K104" s="233" t="n">
        <v>0</v>
      </c>
      <c r="L104" s="233" t="n">
        <v>0</v>
      </c>
      <c r="M104" s="233" t="n">
        <v>0</v>
      </c>
      <c r="N104" s="233" t="n">
        <v>0</v>
      </c>
      <c r="O104" s="233" t="n">
        <v>0</v>
      </c>
      <c r="P104" s="380" t="n">
        <v>0</v>
      </c>
      <c r="Q104" s="232">
        <f>SUM(E104:P104)</f>
        <v/>
      </c>
      <c r="R104" s="224" t="n"/>
      <c r="T104" s="2585" t="n"/>
      <c r="U104" s="2422" t="n"/>
      <c r="V104" s="2422" t="n"/>
      <c r="W104" s="2422" t="n"/>
    </row>
    <row customHeight="1" ht="15" r="105" s="1843" spans="1:33" thickBot="1">
      <c r="A105" s="2620" t="n"/>
      <c r="B105" s="2621" t="n"/>
      <c r="C105" s="2622" t="n"/>
      <c r="D105" s="2623" t="s">
        <v>79</v>
      </c>
      <c r="E105" s="266">
        <f>E101+E103+E104</f>
        <v/>
      </c>
      <c r="F105" s="265">
        <f>F101+F103+F104</f>
        <v/>
      </c>
      <c r="G105" s="265">
        <f>G101+G103+G104</f>
        <v/>
      </c>
      <c r="H105" s="265">
        <f>H101+H103+H104</f>
        <v/>
      </c>
      <c r="I105" s="265">
        <f>I101+I103+I104</f>
        <v/>
      </c>
      <c r="J105" s="265">
        <f>J101+J103+J104</f>
        <v/>
      </c>
      <c r="K105" s="265">
        <f>K101+K103+K104</f>
        <v/>
      </c>
      <c r="L105" s="265">
        <f>L101+L103+L104</f>
        <v/>
      </c>
      <c r="M105" s="265">
        <f>M101+M103+M104</f>
        <v/>
      </c>
      <c r="N105" s="265">
        <f>N101+N103+N104</f>
        <v/>
      </c>
      <c r="O105" s="265">
        <f>O101+O103+O104</f>
        <v/>
      </c>
      <c r="P105" s="398">
        <f>P101+P103+P104</f>
        <v/>
      </c>
      <c r="Q105" s="264">
        <f>Q101+Q103+Q104</f>
        <v/>
      </c>
      <c r="R105" s="224" t="n"/>
    </row>
    <row customHeight="1" ht="16.5" outlineLevel="1" r="106" s="1843" spans="1:33" thickTop="1">
      <c r="A106" s="2587" t="s">
        <v>267</v>
      </c>
      <c r="B106" s="2588" t="n"/>
      <c r="C106" s="287" t="s">
        <v>243</v>
      </c>
      <c r="D106" s="2589" t="n"/>
      <c r="E106" s="298" t="n"/>
      <c r="F106" s="297" t="n"/>
      <c r="G106" s="297" t="n"/>
      <c r="H106" s="297" t="n"/>
      <c r="I106" s="297" t="n"/>
      <c r="J106" s="297" t="n"/>
      <c r="K106" s="297" t="n"/>
      <c r="L106" s="297" t="n"/>
      <c r="M106" s="388" t="n"/>
      <c r="N106" s="388" t="n"/>
      <c r="O106" s="388" t="n"/>
      <c r="P106" s="389" t="n"/>
      <c r="Q106" s="288">
        <f>SUM(E106:P106)</f>
        <v/>
      </c>
      <c r="S106" s="2395" t="n"/>
    </row>
    <row customFormat="1" customHeight="1" ht="18" outlineLevel="1" r="107" s="2422" spans="1:33">
      <c r="A107" s="2590" t="s">
        <v>94</v>
      </c>
      <c r="B107" s="2591" t="n"/>
      <c r="C107" s="296" t="s">
        <v>245</v>
      </c>
      <c r="D107" s="2624" t="n"/>
      <c r="E107" s="294" t="n">
        <v>246421.27</v>
      </c>
      <c r="F107" s="294" t="n">
        <v>379815.87</v>
      </c>
      <c r="G107" s="294" t="n">
        <v>376041.23</v>
      </c>
      <c r="H107" s="294" t="n">
        <v>249872.44</v>
      </c>
      <c r="I107" s="294">
        <f>'[5]FY18 SET'!K96</f>
        <v/>
      </c>
      <c r="J107" s="294">
        <f>'[5]FY18 SET'!L96</f>
        <v/>
      </c>
      <c r="K107" s="293">
        <f>'[5]FY18 SET'!N96</f>
        <v/>
      </c>
      <c r="L107" s="293">
        <f>'[5]FY18 SET'!O96</f>
        <v/>
      </c>
      <c r="M107" s="293">
        <f>'[5]FY18 SET'!P96</f>
        <v/>
      </c>
      <c r="N107" s="293">
        <f>'[5]FY18 SET'!Q96</f>
        <v/>
      </c>
      <c r="O107" s="293">
        <f>'[5]FY18 SET'!R96</f>
        <v/>
      </c>
      <c r="P107" s="293">
        <f>'[5]FY18 SET'!S96</f>
        <v/>
      </c>
      <c r="Q107" s="292">
        <f>SUM(E107:P107)</f>
        <v/>
      </c>
      <c r="R107" s="2527">
        <f>'[5]FY18 SET'!U97</f>
        <v/>
      </c>
      <c r="S107" s="2527">
        <f>Q107-R107</f>
        <v/>
      </c>
      <c r="T107" s="2505" t="n"/>
      <c r="U107" s="2362" t="n"/>
      <c r="V107" s="2362" t="n"/>
      <c r="W107" s="2362" t="n"/>
      <c r="X107" s="2422" t="n"/>
      <c r="Y107" s="2422" t="n"/>
      <c r="Z107" s="2422" t="n"/>
      <c r="AA107" s="2422" t="n"/>
    </row>
    <row customHeight="1" ht="15.75" outlineLevel="1" r="108" s="1843" spans="1:33">
      <c r="A108" s="2596" t="n"/>
      <c r="B108" s="2594" t="s">
        <v>246</v>
      </c>
      <c r="C108" s="289" t="n"/>
      <c r="D108" s="2595" t="n"/>
      <c r="E108" s="1622">
        <f>SUM(E107)</f>
        <v/>
      </c>
      <c r="F108" s="1623">
        <f>SUM(F107)</f>
        <v/>
      </c>
      <c r="G108" s="1623">
        <f>SUM(G107)</f>
        <v/>
      </c>
      <c r="H108" s="1623">
        <f>SUM(H107)</f>
        <v/>
      </c>
      <c r="I108" s="1623">
        <f>SUM(I107)</f>
        <v/>
      </c>
      <c r="J108" s="1623">
        <f>SUM(J107)</f>
        <v/>
      </c>
      <c r="K108" s="1623">
        <f>SUM(K107)</f>
        <v/>
      </c>
      <c r="L108" s="1623">
        <f>SUM(L107)</f>
        <v/>
      </c>
      <c r="M108" s="1623">
        <f>SUM(M107)</f>
        <v/>
      </c>
      <c r="N108" s="1623">
        <f>SUM(N107)</f>
        <v/>
      </c>
      <c r="O108" s="1623">
        <f>SUM(O107)</f>
        <v/>
      </c>
      <c r="P108" s="1624">
        <f>SUM(P107)</f>
        <v/>
      </c>
      <c r="Q108" s="1625">
        <f>SUM(E108:P108)</f>
        <v/>
      </c>
    </row>
    <row customHeight="1" ht="15.75" outlineLevel="1" r="109" s="1843" spans="1:33">
      <c r="A109" s="2596" t="n"/>
      <c r="B109" s="2597" t="s">
        <v>247</v>
      </c>
      <c r="C109" s="1627" t="n"/>
      <c r="D109" s="2598" t="n"/>
      <c r="E109" s="1622" t="n"/>
      <c r="F109" s="1623" t="n"/>
      <c r="G109" s="1623" t="n"/>
      <c r="H109" s="1623" t="n"/>
      <c r="I109" s="1623" t="n"/>
      <c r="J109" s="1623" t="n"/>
      <c r="K109" s="1623" t="n"/>
      <c r="L109" s="1623" t="n"/>
      <c r="M109" s="1623" t="n"/>
      <c r="N109" s="1623" t="n"/>
      <c r="O109" s="1623" t="n"/>
      <c r="P109" s="1624" t="n"/>
      <c r="Q109" s="1625">
        <f>SUM(E109:P109)</f>
        <v/>
      </c>
    </row>
    <row customHeight="1" ht="15.75" outlineLevel="1" r="110" s="1843" spans="1:33">
      <c r="A110" s="2596" t="n"/>
      <c r="B110" s="2597" t="s">
        <v>248</v>
      </c>
      <c r="C110" s="1627" t="n"/>
      <c r="D110" s="2598" t="n"/>
      <c r="E110" s="277">
        <f>E108-E109</f>
        <v/>
      </c>
      <c r="F110" s="276">
        <f>F108-F109</f>
        <v/>
      </c>
      <c r="G110" s="276">
        <f>G108-G109</f>
        <v/>
      </c>
      <c r="H110" s="276">
        <f>H108-H109</f>
        <v/>
      </c>
      <c r="I110" s="276">
        <f>I108-I109</f>
        <v/>
      </c>
      <c r="J110" s="276">
        <f>J108-J109</f>
        <v/>
      </c>
      <c r="K110" s="276">
        <f>K108-K109</f>
        <v/>
      </c>
      <c r="L110" s="276">
        <f>L108-L109</f>
        <v/>
      </c>
      <c r="M110" s="276">
        <f>M108-M109</f>
        <v/>
      </c>
      <c r="N110" s="276">
        <f>N108-N109</f>
        <v/>
      </c>
      <c r="O110" s="276">
        <f>O108-O109</f>
        <v/>
      </c>
      <c r="P110" s="391">
        <f>P108-P109</f>
        <v/>
      </c>
      <c r="Q110" s="288">
        <f>SUM(E110:P110)</f>
        <v/>
      </c>
    </row>
    <row customHeight="1" ht="15.75" outlineLevel="1" r="111" s="1843" spans="1:33">
      <c r="A111" s="2596" t="n"/>
      <c r="B111" s="2599" t="n"/>
      <c r="C111" s="1696" t="n"/>
      <c r="D111" s="2600" t="s">
        <v>249</v>
      </c>
      <c r="E111" s="1698" t="n"/>
      <c r="F111" s="1629" t="n"/>
      <c r="G111" s="1629" t="n"/>
      <c r="H111" s="1629" t="n"/>
      <c r="I111" s="1629" t="n"/>
      <c r="J111" s="1629" t="n"/>
      <c r="K111" s="1629" t="n"/>
      <c r="L111" s="1629" t="n"/>
      <c r="M111" s="1629" t="n"/>
      <c r="N111" s="1629" t="n"/>
      <c r="O111" s="1629" t="n"/>
      <c r="P111" s="1630" t="n"/>
      <c r="Q111" s="1699">
        <f>SUM(E111:P111)</f>
        <v/>
      </c>
      <c r="T111" s="2582" t="n"/>
      <c r="U111" s="2601" t="n"/>
    </row>
    <row customHeight="1" ht="15.75" outlineLevel="1" r="112" s="1843" spans="1:33">
      <c r="A112" s="2596" t="n"/>
      <c r="B112" s="2588" t="n"/>
      <c r="C112" s="287" t="n"/>
      <c r="D112" s="2602" t="s">
        <v>250</v>
      </c>
      <c r="E112" s="283" t="n"/>
      <c r="F112" s="282" t="n"/>
      <c r="G112" s="282" t="n"/>
      <c r="H112" s="282" t="n"/>
      <c r="I112" s="282" t="n"/>
      <c r="J112" s="282" t="n"/>
      <c r="K112" s="282" t="n"/>
      <c r="L112" s="282" t="n"/>
      <c r="M112" s="282" t="n"/>
      <c r="N112" s="282" t="n"/>
      <c r="O112" s="282" t="n"/>
      <c r="P112" s="393" t="n"/>
      <c r="Q112" s="281">
        <f>SUM(E112:P112)</f>
        <v/>
      </c>
    </row>
    <row customFormat="1" customHeight="1" ht="15.75" outlineLevel="1" r="113" s="2362" spans="1:33">
      <c r="A113" s="2603" t="n"/>
      <c r="B113" s="2588" t="n"/>
      <c r="C113" s="285" t="s">
        <v>251</v>
      </c>
      <c r="D113" s="2598" t="n"/>
      <c r="E113" s="1622">
        <f>SUM(E111:E112)</f>
        <v/>
      </c>
      <c r="F113" s="1623">
        <f>SUM(F111:F112)</f>
        <v/>
      </c>
      <c r="G113" s="1623">
        <f>SUM(G111:G112)</f>
        <v/>
      </c>
      <c r="H113" s="1623">
        <f>SUM(H111:H112)</f>
        <v/>
      </c>
      <c r="I113" s="1623">
        <f>SUM(I111:I112)</f>
        <v/>
      </c>
      <c r="J113" s="1623">
        <f>SUM(J111:J112)</f>
        <v/>
      </c>
      <c r="K113" s="1623">
        <f>SUM(K111:K112)</f>
        <v/>
      </c>
      <c r="L113" s="1623">
        <f>SUM(L111:L112)</f>
        <v/>
      </c>
      <c r="M113" s="1623">
        <f>SUM(M111:M112)</f>
        <v/>
      </c>
      <c r="N113" s="1623">
        <f>SUM(N111:N112)</f>
        <v/>
      </c>
      <c r="O113" s="1623">
        <f>SUM(O111:O112)</f>
        <v/>
      </c>
      <c r="P113" s="1624">
        <f>SUM(P111:P112)</f>
        <v/>
      </c>
      <c r="Q113" s="1625">
        <f>SUM(E113:P113)</f>
        <v/>
      </c>
      <c r="R113" s="2504" t="n"/>
      <c r="S113" s="2505" t="n"/>
      <c r="T113" s="2362" t="n"/>
      <c r="U113" s="2362" t="n"/>
      <c r="V113" s="2362" t="n"/>
      <c r="W113" s="2362" t="n"/>
      <c r="X113" s="2362" t="n"/>
    </row>
    <row customFormat="1" customHeight="1" ht="15.75" outlineLevel="1" r="114" s="2362" spans="1:33">
      <c r="A114" s="2603" t="n"/>
      <c r="B114" s="2604" t="n"/>
      <c r="C114" s="1700" t="n"/>
      <c r="D114" s="2583" t="s">
        <v>187</v>
      </c>
      <c r="E114" s="1332">
        <f>214450.89-43000-31000-31000</f>
        <v/>
      </c>
      <c r="F114" s="1332">
        <f>214544.43-43000-31000</f>
        <v/>
      </c>
      <c r="G114" s="1332">
        <f>291832.67-43000-31000</f>
        <v/>
      </c>
      <c r="H114" s="1333">
        <f>414726.05-43000-31000</f>
        <v/>
      </c>
      <c r="I114" s="1333">
        <f>175225.6449-43000-31000</f>
        <v/>
      </c>
      <c r="J114" s="1333">
        <f>174919.4164-43000-31000</f>
        <v/>
      </c>
      <c r="K114" s="1333">
        <f>175225.6449-43000-31000</f>
        <v/>
      </c>
      <c r="L114" s="1333">
        <f>175225.6449-43000-31000</f>
        <v/>
      </c>
      <c r="M114" s="1333">
        <f>192210.2942-43000-31000</f>
        <v/>
      </c>
      <c r="N114" s="1333">
        <f>175225.6449-43000-31000</f>
        <v/>
      </c>
      <c r="O114" s="1333">
        <f>175225.6449-43000-31000</f>
        <v/>
      </c>
      <c r="P114" s="1333">
        <f>192516.5227-43000-31000</f>
        <v/>
      </c>
      <c r="Q114" s="241">
        <f>SUM(E114:P114)</f>
        <v/>
      </c>
      <c r="R114" s="2527">
        <f>'[5]FY18 CFG Prev'!Q114</f>
        <v/>
      </c>
      <c r="S114" s="2544" t="n"/>
      <c r="T114" s="2362" t="n"/>
      <c r="U114" s="2362" t="n"/>
      <c r="V114" s="2538">
        <f>Q114-R114</f>
        <v/>
      </c>
      <c r="W114" s="2538" t="n"/>
      <c r="X114" s="2377" t="n"/>
    </row>
    <row customFormat="1" customHeight="1" ht="15.75" outlineLevel="1" r="115" s="2362" spans="1:33">
      <c r="A115" s="2603" t="n"/>
      <c r="B115" s="2588" t="n"/>
      <c r="C115" s="287" t="n"/>
      <c r="D115" s="2382" t="s">
        <v>189</v>
      </c>
      <c r="E115" s="817" t="n"/>
      <c r="F115" s="818" t="n"/>
      <c r="G115" s="818" t="n"/>
      <c r="H115" s="818" t="n"/>
      <c r="I115" s="818" t="n">
        <v>250</v>
      </c>
      <c r="J115" s="818" t="n">
        <v>250</v>
      </c>
      <c r="K115" s="818" t="n">
        <v>250</v>
      </c>
      <c r="L115" s="818" t="n">
        <v>250</v>
      </c>
      <c r="M115" s="818" t="n">
        <v>250</v>
      </c>
      <c r="N115" s="818" t="n">
        <v>250</v>
      </c>
      <c r="O115" s="818" t="n">
        <v>250</v>
      </c>
      <c r="P115" s="819" t="n">
        <v>250</v>
      </c>
      <c r="Q115" s="241">
        <f>SUM(E115:P115)</f>
        <v/>
      </c>
      <c r="R115" s="2504" t="n"/>
      <c r="S115" s="2505" t="n"/>
      <c r="T115" s="2362" t="n"/>
      <c r="U115" s="2362" t="n"/>
      <c r="V115" s="2538" t="n"/>
      <c r="W115" s="2538" t="n"/>
      <c r="X115" s="2377" t="n"/>
    </row>
    <row customFormat="1" customHeight="1" ht="15.75" outlineLevel="1" r="116" s="2362" spans="1:33">
      <c r="A116" s="2625" t="n"/>
      <c r="B116" s="2588" t="n"/>
      <c r="C116" s="287" t="n"/>
      <c r="D116" s="2560" t="s">
        <v>252</v>
      </c>
      <c r="E116" s="1103">
        <f>E395+E400</f>
        <v/>
      </c>
      <c r="F116" s="1103">
        <f>F395+F400</f>
        <v/>
      </c>
      <c r="G116" s="1103">
        <f>G395+G400</f>
        <v/>
      </c>
      <c r="H116" s="1103">
        <f>H395+H400</f>
        <v/>
      </c>
      <c r="I116" s="1103">
        <f>I395+I400</f>
        <v/>
      </c>
      <c r="J116" s="1103">
        <f>J395+J400</f>
        <v/>
      </c>
      <c r="K116" s="1103">
        <f>K395+K400</f>
        <v/>
      </c>
      <c r="L116" s="1103">
        <f>L395+L400</f>
        <v/>
      </c>
      <c r="M116" s="1103">
        <f>M395+M400</f>
        <v/>
      </c>
      <c r="N116" s="1103">
        <f>N395+N400</f>
        <v/>
      </c>
      <c r="O116" s="1103">
        <f>O395+O400</f>
        <v/>
      </c>
      <c r="P116" s="1103">
        <f>P395+P400</f>
        <v/>
      </c>
      <c r="Q116" s="241">
        <f>SUM(E116:P116)</f>
        <v/>
      </c>
      <c r="R116" s="2504" t="n"/>
      <c r="S116" s="2505" t="n"/>
      <c r="T116" s="2362" t="n"/>
      <c r="U116" s="2362" t="n"/>
      <c r="V116" s="2538" t="n"/>
      <c r="W116" s="2538" t="n"/>
      <c r="X116" s="2377" t="n"/>
    </row>
    <row customFormat="1" outlineLevel="1" r="117" s="2362" spans="1:33">
      <c r="A117" s="2626" t="n"/>
      <c r="B117" s="2588" t="n"/>
      <c r="C117" s="287" t="n"/>
      <c r="D117" s="2382" t="s">
        <v>158</v>
      </c>
      <c r="E117" s="817" t="n">
        <v>12313.87</v>
      </c>
      <c r="F117" s="815" t="n">
        <v>12313.82</v>
      </c>
      <c r="G117" s="818" t="n">
        <v>12313.85</v>
      </c>
      <c r="H117" s="818" t="n">
        <v>12313.85</v>
      </c>
      <c r="I117" s="818" t="n">
        <v>14158.1732</v>
      </c>
      <c r="J117" s="818" t="n">
        <v>13607.7822</v>
      </c>
      <c r="K117" s="815" t="n">
        <v>13802.7822</v>
      </c>
      <c r="L117" s="818" t="n">
        <v>13154.8056</v>
      </c>
      <c r="M117" s="818" t="n">
        <v>13154.8056</v>
      </c>
      <c r="N117" s="818" t="n">
        <v>13349.8056</v>
      </c>
      <c r="O117" s="818" t="n">
        <v>13349.8056</v>
      </c>
      <c r="P117" s="819" t="n">
        <v>13261.9929</v>
      </c>
      <c r="Q117" s="241">
        <f>SUM(E117:P117)</f>
        <v/>
      </c>
      <c r="R117" s="2504" t="n"/>
      <c r="S117" s="2505" t="n"/>
      <c r="T117" s="2362" t="n"/>
      <c r="U117" s="2362" t="n"/>
      <c r="V117" s="2538" t="n"/>
      <c r="W117" s="2538" t="n"/>
      <c r="X117" s="2377" t="n"/>
    </row>
    <row customFormat="1" customHeight="1" ht="15.75" outlineLevel="1" r="118" s="2362" spans="1:33">
      <c r="A118" s="2625" t="n"/>
      <c r="B118" s="2588" t="n"/>
      <c r="C118" s="287" t="n"/>
      <c r="D118" s="2382" t="s">
        <v>192</v>
      </c>
      <c r="E118" s="1327" t="n"/>
      <c r="F118" s="815" t="n">
        <v>-5.95</v>
      </c>
      <c r="G118" s="818" t="n">
        <v>9.34</v>
      </c>
      <c r="H118" s="818" t="n">
        <v>181.33</v>
      </c>
      <c r="I118" s="818" t="n">
        <v>500</v>
      </c>
      <c r="J118" s="818" t="n">
        <v>500</v>
      </c>
      <c r="K118" s="818" t="n">
        <v>500</v>
      </c>
      <c r="L118" s="818" t="n">
        <v>500</v>
      </c>
      <c r="M118" s="818" t="n">
        <v>500</v>
      </c>
      <c r="N118" s="818" t="n">
        <v>500</v>
      </c>
      <c r="O118" s="818" t="n">
        <v>500</v>
      </c>
      <c r="P118" s="819" t="n">
        <v>500</v>
      </c>
      <c r="Q118" s="241">
        <f>SUM(E118:P118)</f>
        <v/>
      </c>
      <c r="R118" s="2504" t="n"/>
      <c r="S118" s="2505" t="n"/>
      <c r="T118" s="2362" t="n"/>
      <c r="U118" s="2362" t="n"/>
      <c r="V118" s="2538" t="n"/>
      <c r="W118" s="2538" t="n"/>
      <c r="X118" s="2377" t="n"/>
    </row>
    <row customFormat="1" customHeight="1" ht="15.75" outlineLevel="1" r="119" s="2362" spans="1:33">
      <c r="A119" s="2625" t="n"/>
      <c r="B119" s="2588" t="n">
        <v>12272</v>
      </c>
      <c r="C119" s="287" t="n"/>
      <c r="D119" s="2382" t="s">
        <v>193</v>
      </c>
      <c r="E119" s="1327" t="n">
        <v>230712.04</v>
      </c>
      <c r="F119" s="1327" t="n">
        <v>53571.51</v>
      </c>
      <c r="G119" s="1327" t="n">
        <v>144339.05</v>
      </c>
      <c r="H119" s="1327" t="n">
        <v>105910.06</v>
      </c>
      <c r="I119" s="1327" t="n">
        <v>139077.54</v>
      </c>
      <c r="J119" s="1327" t="n">
        <v>139077.54</v>
      </c>
      <c r="K119" s="1327" t="n">
        <v>139077.54</v>
      </c>
      <c r="L119" s="1327" t="n">
        <v>139077.54</v>
      </c>
      <c r="M119" s="1327" t="n">
        <v>139077.54</v>
      </c>
      <c r="N119" s="1327" t="n">
        <v>139077.54</v>
      </c>
      <c r="O119" s="1327" t="n">
        <v>139077.54</v>
      </c>
      <c r="P119" s="1327" t="n">
        <v>139077.54</v>
      </c>
      <c r="Q119" s="241">
        <f>SUM(E119:P119)</f>
        <v/>
      </c>
      <c r="R119" s="2527" t="n"/>
      <c r="S119" s="2505" t="n"/>
      <c r="T119" s="2362" t="n"/>
      <c r="U119" s="2362" t="n"/>
      <c r="V119" s="2538" t="n"/>
      <c r="W119" s="2538" t="n"/>
      <c r="X119" s="2377" t="n"/>
    </row>
    <row customFormat="1" outlineLevel="1" r="120" s="2362" spans="1:33">
      <c r="A120" s="2605" t="n"/>
      <c r="B120" s="2588" t="n"/>
      <c r="C120" s="287" t="n"/>
      <c r="D120" s="2382" t="s">
        <v>213</v>
      </c>
      <c r="E120" s="1327" t="n">
        <v>16075.14</v>
      </c>
      <c r="F120" s="815" t="n">
        <v>481.4</v>
      </c>
      <c r="G120" s="818" t="n">
        <v>2220.38</v>
      </c>
      <c r="H120" s="818" t="n">
        <v>1686.66</v>
      </c>
      <c r="I120" s="818" t="n">
        <v>5000</v>
      </c>
      <c r="J120" s="818" t="n">
        <v>5000</v>
      </c>
      <c r="K120" s="818" t="n">
        <v>5000</v>
      </c>
      <c r="L120" s="818" t="n">
        <v>5000</v>
      </c>
      <c r="M120" s="818" t="n">
        <v>5000</v>
      </c>
      <c r="N120" s="818" t="n">
        <v>5000</v>
      </c>
      <c r="O120" s="818" t="n">
        <v>5000</v>
      </c>
      <c r="P120" s="819" t="n">
        <v>5000</v>
      </c>
      <c r="Q120" s="241">
        <f>SUM(E120:P120)</f>
        <v/>
      </c>
      <c r="R120" s="2504" t="n"/>
      <c r="S120" s="2505" t="n"/>
      <c r="T120" s="2362" t="n"/>
      <c r="U120" s="2362" t="n"/>
      <c r="V120" s="2538" t="n"/>
      <c r="W120" s="2538" t="n"/>
      <c r="X120" s="2377" t="n"/>
    </row>
    <row customFormat="1" customHeight="1" ht="15.75" outlineLevel="1" r="121" s="2362" spans="1:33">
      <c r="A121" s="2627" t="n"/>
      <c r="B121" s="2588" t="n"/>
      <c r="C121" s="287" t="n"/>
      <c r="D121" s="2382" t="s">
        <v>253</v>
      </c>
      <c r="E121" s="817" t="n"/>
      <c r="F121" s="818" t="n"/>
      <c r="G121" s="818" t="n"/>
      <c r="H121" s="818" t="n"/>
      <c r="I121" s="818" t="n"/>
      <c r="J121" s="818" t="n"/>
      <c r="K121" s="818" t="n"/>
      <c r="L121" s="818" t="n"/>
      <c r="M121" s="818" t="n"/>
      <c r="N121" s="818" t="n"/>
      <c r="O121" s="818" t="n"/>
      <c r="P121" s="819" t="n"/>
      <c r="Q121" s="241">
        <f>SUM(E121:P121)</f>
        <v/>
      </c>
      <c r="R121" s="2504" t="n"/>
      <c r="S121" s="2505" t="n"/>
      <c r="T121" s="2362" t="n"/>
      <c r="U121" s="2362" t="n"/>
      <c r="V121" s="2538" t="n"/>
      <c r="W121" s="2538" t="n"/>
      <c r="X121" s="2377" t="n"/>
    </row>
    <row customFormat="1" customHeight="1" ht="15.75" outlineLevel="1" r="122" s="2362" spans="1:33">
      <c r="A122" s="2627" t="n"/>
      <c r="B122" s="2588" t="n"/>
      <c r="C122" s="287" t="n"/>
      <c r="D122" s="2382" t="s">
        <v>254</v>
      </c>
      <c r="E122" s="1327" t="n"/>
      <c r="F122" s="815" t="n"/>
      <c r="G122" s="815" t="n"/>
      <c r="H122" s="815" t="n"/>
      <c r="I122" s="815" t="n"/>
      <c r="J122" s="815" t="n"/>
      <c r="K122" s="815" t="n"/>
      <c r="L122" s="815" t="n"/>
      <c r="M122" s="815" t="n"/>
      <c r="N122" s="815" t="n"/>
      <c r="O122" s="815" t="n"/>
      <c r="P122" s="816" t="n"/>
      <c r="Q122" s="241">
        <f>SUM(E122:P122)</f>
        <v/>
      </c>
      <c r="R122" s="2504" t="n"/>
      <c r="S122" s="2505" t="n"/>
      <c r="T122" s="2362" t="n"/>
      <c r="U122" s="2362" t="n"/>
      <c r="V122" s="2538" t="n"/>
      <c r="W122" s="2538" t="n"/>
      <c r="X122" s="2377" t="n"/>
    </row>
    <row customFormat="1" customHeight="1" ht="15.75" outlineLevel="1" r="123" s="2362" spans="1:33">
      <c r="A123" s="2627" t="n"/>
      <c r="B123" s="2588" t="n"/>
      <c r="C123" s="287" t="n"/>
      <c r="D123" s="2382" t="s">
        <v>255</v>
      </c>
      <c r="E123" s="1327" t="n">
        <v>2.56</v>
      </c>
      <c r="F123" s="815" t="n">
        <v>2.5</v>
      </c>
      <c r="G123" s="815" t="n">
        <v>2.5</v>
      </c>
      <c r="H123" s="818" t="n">
        <v>2.5</v>
      </c>
      <c r="I123" s="818" t="n">
        <v>300</v>
      </c>
      <c r="J123" s="818" t="n">
        <v>300</v>
      </c>
      <c r="K123" s="818" t="n">
        <v>300</v>
      </c>
      <c r="L123" s="818" t="n">
        <v>300</v>
      </c>
      <c r="M123" s="818" t="n">
        <v>300</v>
      </c>
      <c r="N123" s="818" t="n">
        <v>300</v>
      </c>
      <c r="O123" s="818" t="n">
        <v>300</v>
      </c>
      <c r="P123" s="819" t="n">
        <v>300</v>
      </c>
      <c r="Q123" s="241">
        <f>SUM(E123:P123)</f>
        <v/>
      </c>
      <c r="R123" s="2504" t="n"/>
      <c r="S123" s="2505" t="n"/>
      <c r="T123" s="2362" t="n"/>
      <c r="U123" s="2362" t="n"/>
      <c r="V123" s="2538" t="n"/>
      <c r="W123" s="2538" t="n"/>
      <c r="X123" s="2377" t="n"/>
    </row>
    <row customFormat="1" outlineLevel="1" r="124" s="2362" spans="1:33">
      <c r="A124" s="2605" t="n"/>
      <c r="B124" s="2588" t="n"/>
      <c r="C124" s="395" t="n"/>
      <c r="D124" s="2554" t="s">
        <v>256</v>
      </c>
      <c r="E124" s="835">
        <f>E444-E433+E451*E351/E355</f>
        <v/>
      </c>
      <c r="F124" s="835">
        <f>F444-F433+F451*F351/F355</f>
        <v/>
      </c>
      <c r="G124" s="835">
        <f>G444-G433+G451*G351/G355</f>
        <v/>
      </c>
      <c r="H124" s="835">
        <f>H444-H433+H451*H351/H355</f>
        <v/>
      </c>
      <c r="I124" s="835">
        <f>I444-I433+I451*I351/I355</f>
        <v/>
      </c>
      <c r="J124" s="835">
        <f>J444-J433+J451*J351/J355</f>
        <v/>
      </c>
      <c r="K124" s="835">
        <f>K444-K433+K451*K351/K355</f>
        <v/>
      </c>
      <c r="L124" s="835">
        <f>L444-L433+L451*L351/L355</f>
        <v/>
      </c>
      <c r="M124" s="835">
        <f>M444-M433+M451*M351/M355</f>
        <v/>
      </c>
      <c r="N124" s="835">
        <f>N444-N433+N451*N351/N355</f>
        <v/>
      </c>
      <c r="O124" s="835">
        <f>O444-O433+O451*O351/O355</f>
        <v/>
      </c>
      <c r="P124" s="835">
        <f>P444-P433+P451*P351/P355</f>
        <v/>
      </c>
      <c r="Q124" s="232">
        <f>SUM(E124:P124)</f>
        <v/>
      </c>
      <c r="R124" s="2555" t="n"/>
      <c r="S124" s="2505" t="n"/>
      <c r="T124" s="2362" t="n"/>
      <c r="U124" s="2362" t="n"/>
      <c r="V124" s="2538" t="n"/>
      <c r="W124" s="2538" t="n"/>
      <c r="X124" s="2377" t="n"/>
    </row>
    <row customFormat="1" customHeight="1" ht="15.75" outlineLevel="1" r="125" s="2362" spans="1:33">
      <c r="A125" s="2606" t="n"/>
      <c r="B125" s="2588" t="n"/>
      <c r="C125" s="287" t="n"/>
      <c r="D125" s="2556" t="s">
        <v>257</v>
      </c>
      <c r="E125" s="234" t="n"/>
      <c r="F125" s="233" t="n"/>
      <c r="G125" s="233" t="n"/>
      <c r="H125" s="233" t="n"/>
      <c r="I125" s="233" t="n"/>
      <c r="J125" s="233" t="n"/>
      <c r="K125" s="233" t="n"/>
      <c r="L125" s="233" t="n"/>
      <c r="M125" s="233" t="n"/>
      <c r="N125" s="233" t="n"/>
      <c r="O125" s="233" t="n"/>
      <c r="P125" s="380" t="n"/>
      <c r="Q125" s="232">
        <f>SUM(E125:P125)</f>
        <v/>
      </c>
      <c r="R125" s="2504" t="n"/>
      <c r="S125" s="2505" t="n"/>
      <c r="T125" s="2362" t="n"/>
      <c r="U125" s="2362" t="n"/>
      <c r="V125" s="2362" t="n"/>
      <c r="W125" s="2362" t="n"/>
      <c r="X125" s="2362" t="n"/>
    </row>
    <row customFormat="1" customHeight="1" ht="15.75" outlineLevel="1" r="126" s="2362" spans="1:33">
      <c r="A126" s="2606" t="n"/>
      <c r="B126" s="2588" t="n"/>
      <c r="C126" s="287" t="n"/>
      <c r="D126" s="2556" t="s">
        <v>258</v>
      </c>
      <c r="E126" s="234" t="n"/>
      <c r="F126" s="233" t="n"/>
      <c r="G126" s="233" t="n"/>
      <c r="H126" s="233" t="n"/>
      <c r="I126" s="233" t="n"/>
      <c r="J126" s="233" t="n"/>
      <c r="K126" s="233" t="n"/>
      <c r="L126" s="233" t="n"/>
      <c r="M126" s="233" t="n"/>
      <c r="N126" s="233" t="n"/>
      <c r="O126" s="233" t="n"/>
      <c r="P126" s="380" t="n"/>
      <c r="Q126" s="232">
        <f>SUM(E126:P126)</f>
        <v/>
      </c>
      <c r="R126" s="2504" t="n"/>
      <c r="S126" s="2505" t="n"/>
      <c r="T126" s="2362" t="n"/>
      <c r="U126" s="2362" t="n"/>
      <c r="V126" s="2362" t="n"/>
      <c r="W126" s="2362" t="n"/>
      <c r="X126" s="2362" t="n"/>
    </row>
    <row customFormat="1" customHeight="1" ht="15.75" outlineLevel="1" r="127" s="2362" spans="1:33">
      <c r="A127" s="2606" t="n"/>
      <c r="B127" s="2588" t="n"/>
      <c r="C127" s="285" t="s">
        <v>214</v>
      </c>
      <c r="D127" s="2595" t="n"/>
      <c r="E127" s="283">
        <f>SUM(E114:E126)</f>
        <v/>
      </c>
      <c r="F127" s="282">
        <f>SUM(F114:F126)</f>
        <v/>
      </c>
      <c r="G127" s="282">
        <f>SUM(G114:G126)</f>
        <v/>
      </c>
      <c r="H127" s="282">
        <f>SUM(H114:H126)</f>
        <v/>
      </c>
      <c r="I127" s="282">
        <f>SUM(I114:I126)</f>
        <v/>
      </c>
      <c r="J127" s="282">
        <f>SUM(J114:J126)</f>
        <v/>
      </c>
      <c r="K127" s="282">
        <f>SUM(K114:K126)</f>
        <v/>
      </c>
      <c r="L127" s="282">
        <f>SUM(L114:L126)</f>
        <v/>
      </c>
      <c r="M127" s="282">
        <f>SUM(M114:M126)</f>
        <v/>
      </c>
      <c r="N127" s="282">
        <f>SUM(N114:N126)</f>
        <v/>
      </c>
      <c r="O127" s="282">
        <f>SUM(O114:O126)</f>
        <v/>
      </c>
      <c r="P127" s="393">
        <f>SUM(P114:P126)</f>
        <v/>
      </c>
      <c r="Q127" s="281">
        <f>SUM(E127:P127)</f>
        <v/>
      </c>
      <c r="R127" s="2504" t="n"/>
      <c r="S127" s="2505" t="n"/>
      <c r="T127" s="2362" t="n"/>
      <c r="U127" s="2362" t="n"/>
      <c r="V127" s="2362" t="n"/>
      <c r="W127" s="2362" t="n"/>
      <c r="X127" s="2362" t="n"/>
    </row>
    <row customFormat="1" customHeight="1" ht="15.75" outlineLevel="1" r="128" s="2362" spans="1:33">
      <c r="A128" s="2606" t="n"/>
      <c r="B128" s="2588" t="n"/>
      <c r="C128" s="1701" t="n"/>
      <c r="D128" s="2558" t="s">
        <v>268</v>
      </c>
      <c r="E128" s="396">
        <f>E374+E478</f>
        <v/>
      </c>
      <c r="F128" s="396">
        <f>F374+F478</f>
        <v/>
      </c>
      <c r="G128" s="396">
        <f>G374+G478</f>
        <v/>
      </c>
      <c r="H128" s="396">
        <f>H374+H478</f>
        <v/>
      </c>
      <c r="I128" s="396">
        <f>I374+I478</f>
        <v/>
      </c>
      <c r="J128" s="396">
        <f>J374+J478</f>
        <v/>
      </c>
      <c r="K128" s="396">
        <f>K374+K478</f>
        <v/>
      </c>
      <c r="L128" s="396">
        <f>L374+L478</f>
        <v/>
      </c>
      <c r="M128" s="396">
        <f>M374+M478</f>
        <v/>
      </c>
      <c r="N128" s="396">
        <f>N374+N478</f>
        <v/>
      </c>
      <c r="O128" s="396">
        <f>O374+O478</f>
        <v/>
      </c>
      <c r="P128" s="396">
        <f>P374+P478</f>
        <v/>
      </c>
      <c r="Q128" s="241">
        <f>SUM(E128:P128)</f>
        <v/>
      </c>
      <c r="R128" s="2504" t="n"/>
      <c r="S128" s="2505" t="n"/>
      <c r="T128" s="2362" t="n"/>
      <c r="U128" s="2362" t="n"/>
      <c r="V128" s="2362" t="n"/>
      <c r="W128" s="2362" t="n"/>
      <c r="X128" s="2362" t="n"/>
    </row>
    <row customHeight="1" ht="15.75" outlineLevel="1" r="129" s="1843" spans="1:33">
      <c r="A129" s="2606" t="n"/>
      <c r="B129" s="2588" t="n"/>
      <c r="C129" s="395" t="n"/>
      <c r="D129" s="2560" t="s">
        <v>161</v>
      </c>
      <c r="E129" s="396">
        <f>E422+E433</f>
        <v/>
      </c>
      <c r="F129" s="396">
        <f>F422+F433</f>
        <v/>
      </c>
      <c r="G129" s="396">
        <f>G422+G433</f>
        <v/>
      </c>
      <c r="H129" s="396">
        <f>H422+H433</f>
        <v/>
      </c>
      <c r="I129" s="396">
        <f>I422+I433</f>
        <v/>
      </c>
      <c r="J129" s="396">
        <f>J422+J433</f>
        <v/>
      </c>
      <c r="K129" s="396">
        <f>K422+K433</f>
        <v/>
      </c>
      <c r="L129" s="396">
        <f>L422+L433</f>
        <v/>
      </c>
      <c r="M129" s="396">
        <f>M422+M433</f>
        <v/>
      </c>
      <c r="N129" s="396">
        <f>N422+N433</f>
        <v/>
      </c>
      <c r="O129" s="396">
        <f>O422+O433</f>
        <v/>
      </c>
      <c r="P129" s="396">
        <f>P422+P433</f>
        <v/>
      </c>
      <c r="Q129" s="241">
        <f>SUM(E129:P129)</f>
        <v/>
      </c>
    </row>
    <row customHeight="1" ht="15.75" outlineLevel="1" r="130" s="1843" spans="1:33">
      <c r="A130" s="2606" t="n"/>
      <c r="B130" s="2588" t="n"/>
      <c r="C130" s="397" t="n"/>
      <c r="D130" s="2561" t="s">
        <v>215</v>
      </c>
      <c r="E130" s="386">
        <f>E407*E136/E339</f>
        <v/>
      </c>
      <c r="F130" s="386">
        <f>F407*F136/F339</f>
        <v/>
      </c>
      <c r="G130" s="386">
        <f>G407*G136/G339</f>
        <v/>
      </c>
      <c r="H130" s="386">
        <f>H407*H136/H339</f>
        <v/>
      </c>
      <c r="I130" s="386">
        <f>I407*I136/I339</f>
        <v/>
      </c>
      <c r="J130" s="386">
        <f>J407*J136/J339</f>
        <v/>
      </c>
      <c r="K130" s="386">
        <f>K407*K136/K339</f>
        <v/>
      </c>
      <c r="L130" s="386">
        <f>L407*L136/L339</f>
        <v/>
      </c>
      <c r="M130" s="386">
        <f>M407*M136/M339</f>
        <v/>
      </c>
      <c r="N130" s="386">
        <f>N407*N136/N339</f>
        <v/>
      </c>
      <c r="O130" s="386">
        <f>O407*O136/O339</f>
        <v/>
      </c>
      <c r="P130" s="386">
        <f>P407*P136/P339</f>
        <v/>
      </c>
      <c r="Q130" s="232">
        <f>SUM(E130:P130)</f>
        <v/>
      </c>
    </row>
    <row customHeight="1" ht="15.75" outlineLevel="1" r="131" s="1843" spans="1:33">
      <c r="A131" s="2606" t="n"/>
      <c r="B131" s="2588" t="n"/>
      <c r="C131" s="285" t="s">
        <v>217</v>
      </c>
      <c r="D131" s="2595" t="n"/>
      <c r="E131" s="283">
        <f>SUM(E128:E130)</f>
        <v/>
      </c>
      <c r="F131" s="282">
        <f>SUM(F128:F130)</f>
        <v/>
      </c>
      <c r="G131" s="282">
        <f>SUM(G128:G130)</f>
        <v/>
      </c>
      <c r="H131" s="282">
        <f>SUM(H128:H130)</f>
        <v/>
      </c>
      <c r="I131" s="282">
        <f>SUM(I128:I130)</f>
        <v/>
      </c>
      <c r="J131" s="282">
        <f>SUM(J128:J130)</f>
        <v/>
      </c>
      <c r="K131" s="282">
        <f>SUM(K128:K130)</f>
        <v/>
      </c>
      <c r="L131" s="282">
        <f>SUM(L128:L130)</f>
        <v/>
      </c>
      <c r="M131" s="282">
        <f>SUM(M128:M130)</f>
        <v/>
      </c>
      <c r="N131" s="282">
        <f>SUM(N128:N130)</f>
        <v/>
      </c>
      <c r="O131" s="282">
        <f>SUM(O128:O130)</f>
        <v/>
      </c>
      <c r="P131" s="393">
        <f>SUM(P128:P130)</f>
        <v/>
      </c>
      <c r="Q131" s="281">
        <f>SUM(E131:P131)</f>
        <v/>
      </c>
    </row>
    <row outlineLevel="1" r="132" s="1843" spans="1:33">
      <c r="A132" s="2608" t="n"/>
      <c r="B132" s="2608" t="s">
        <v>259</v>
      </c>
      <c r="C132" s="405" t="n"/>
      <c r="D132" s="2609" t="n"/>
      <c r="E132" s="277">
        <f>SUM(E131,E127,E113)</f>
        <v/>
      </c>
      <c r="F132" s="276">
        <f>SUM(F131,F127,F113)</f>
        <v/>
      </c>
      <c r="G132" s="276">
        <f>SUM(G131,G127,G113)</f>
        <v/>
      </c>
      <c r="H132" s="276">
        <f>SUM(H131,H127,H113)</f>
        <v/>
      </c>
      <c r="I132" s="276">
        <f>SUM(I131,I127,I113)</f>
        <v/>
      </c>
      <c r="J132" s="276">
        <f>SUM(J131,J127,J113)</f>
        <v/>
      </c>
      <c r="K132" s="276">
        <f>SUM(K131,K127,K113)</f>
        <v/>
      </c>
      <c r="L132" s="276">
        <f>SUM(L131,L127,L113)</f>
        <v/>
      </c>
      <c r="M132" s="276">
        <f>SUM(M131,M127,M113)</f>
        <v/>
      </c>
      <c r="N132" s="276">
        <f>SUM(N131,N127,N113)</f>
        <v/>
      </c>
      <c r="O132" s="276">
        <f>SUM(O131,O127,O113)</f>
        <v/>
      </c>
      <c r="P132" s="1630">
        <f>SUM(P131,P127,P113)</f>
        <v/>
      </c>
      <c r="Q132" s="1699">
        <f>SUM(E132:P132)</f>
        <v/>
      </c>
    </row>
    <row r="133" spans="1:33">
      <c r="A133" s="2610" t="n"/>
      <c r="B133" s="2611" t="s">
        <v>260</v>
      </c>
      <c r="C133" s="1632" t="n"/>
      <c r="D133" s="2612" t="n"/>
      <c r="E133" s="1634">
        <f>E110-E132</f>
        <v/>
      </c>
      <c r="F133" s="1635">
        <f>F110-F132</f>
        <v/>
      </c>
      <c r="G133" s="1635">
        <f>G110-G132</f>
        <v/>
      </c>
      <c r="H133" s="1635">
        <f>H110-H132</f>
        <v/>
      </c>
      <c r="I133" s="1635">
        <f>I110-I132</f>
        <v/>
      </c>
      <c r="J133" s="1635">
        <f>J110-J132</f>
        <v/>
      </c>
      <c r="K133" s="1635">
        <f>K110-K132</f>
        <v/>
      </c>
      <c r="L133" s="1635">
        <f>L110-L132</f>
        <v/>
      </c>
      <c r="M133" s="1635">
        <f>M110-M132</f>
        <v/>
      </c>
      <c r="N133" s="1635">
        <f>N110-N132</f>
        <v/>
      </c>
      <c r="O133" s="1635">
        <f>O110-O132</f>
        <v/>
      </c>
      <c r="P133" s="1636">
        <f>P110-P132</f>
        <v/>
      </c>
      <c r="Q133" s="1637">
        <f>SUM(E133:P133)</f>
        <v/>
      </c>
    </row>
    <row r="134" spans="1:33">
      <c r="A134" s="2614" t="n"/>
      <c r="B134" s="2613" t="s">
        <v>261</v>
      </c>
      <c r="E134" s="1622" t="n"/>
      <c r="F134" s="1623" t="n"/>
      <c r="G134" s="1623" t="n"/>
      <c r="H134" s="1623" t="n"/>
      <c r="I134" s="1623" t="n"/>
      <c r="J134" s="1623" t="n"/>
      <c r="K134" s="1623" t="n"/>
      <c r="L134" s="1623" t="n"/>
      <c r="M134" s="1623" t="n"/>
      <c r="N134" s="1623" t="n"/>
      <c r="O134" s="1623" t="n"/>
      <c r="P134" s="1624" t="n"/>
      <c r="Q134" s="1637">
        <f>SUM(E134:P134)</f>
        <v/>
      </c>
    </row>
    <row customHeight="1" ht="15" r="135" s="1843" spans="1:33" thickBot="1">
      <c r="A135" s="2614" t="n"/>
      <c r="B135" s="2615" t="s">
        <v>262</v>
      </c>
      <c r="E135" s="1638">
        <f>E133-E134</f>
        <v/>
      </c>
      <c r="F135" s="1534">
        <f>F133-F134</f>
        <v/>
      </c>
      <c r="G135" s="1534">
        <f>G133-G134</f>
        <v/>
      </c>
      <c r="H135" s="1534">
        <f>H133-H134</f>
        <v/>
      </c>
      <c r="I135" s="1534">
        <f>I133-I134</f>
        <v/>
      </c>
      <c r="J135" s="1534">
        <f>J133-J134</f>
        <v/>
      </c>
      <c r="K135" s="1534">
        <f>K133-K134</f>
        <v/>
      </c>
      <c r="L135" s="1534">
        <f>L133-L134</f>
        <v/>
      </c>
      <c r="M135" s="1534">
        <f>M133-M134</f>
        <v/>
      </c>
      <c r="N135" s="1534">
        <f>N133-N134</f>
        <v/>
      </c>
      <c r="O135" s="1534">
        <f>O133-O134</f>
        <v/>
      </c>
      <c r="P135" s="1535">
        <f>P133-P134</f>
        <v/>
      </c>
      <c r="Q135" s="1639">
        <f>SUM(E135:P135)</f>
        <v/>
      </c>
      <c r="R135" s="224" t="n"/>
    </row>
    <row r="136" spans="1:33">
      <c r="A136" s="2614" t="n"/>
      <c r="B136" s="2628" t="n"/>
      <c r="C136" s="2629" t="n"/>
      <c r="D136" s="2573" t="s">
        <v>203</v>
      </c>
      <c r="E136" s="1402" t="n">
        <v>3</v>
      </c>
      <c r="F136" s="8" t="n">
        <v>3.5</v>
      </c>
      <c r="G136" s="8" t="n">
        <v>4</v>
      </c>
      <c r="H136" s="8" t="n">
        <v>3</v>
      </c>
      <c r="I136" s="8" t="n">
        <v>3</v>
      </c>
      <c r="J136" s="8" t="n">
        <v>3</v>
      </c>
      <c r="K136" s="8" t="n">
        <v>3</v>
      </c>
      <c r="L136" s="8" t="n">
        <v>3</v>
      </c>
      <c r="M136" s="8" t="n">
        <v>3</v>
      </c>
      <c r="N136" s="8" t="n">
        <v>3</v>
      </c>
      <c r="O136" s="8" t="n">
        <v>3</v>
      </c>
      <c r="P136" s="8" t="n">
        <v>3</v>
      </c>
      <c r="Q136" s="232">
        <f>SUM(E136:P136)</f>
        <v/>
      </c>
      <c r="R136" s="224" t="n"/>
    </row>
    <row r="137" spans="1:33">
      <c r="A137" s="2614" t="n"/>
      <c r="B137" s="2628" t="n"/>
      <c r="C137" s="2629" t="n"/>
      <c r="D137" s="2573" t="s">
        <v>201</v>
      </c>
      <c r="E137" s="8">
        <f>E$303*(E343+E351)/E$356</f>
        <v/>
      </c>
      <c r="F137" s="8">
        <f>F$303*(F343+F351)/F$356</f>
        <v/>
      </c>
      <c r="G137" s="8">
        <f>G$303*(G343+G351)/G$356</f>
        <v/>
      </c>
      <c r="H137" s="8">
        <f>H$303*(H343+H351)/H$356</f>
        <v/>
      </c>
      <c r="I137" s="8">
        <f>I$303*(I343+I351)/I$356</f>
        <v/>
      </c>
      <c r="J137" s="8">
        <f>J$303*(J343+J351)/J$356</f>
        <v/>
      </c>
      <c r="K137" s="8">
        <f>K$303*(K343+K351)/K$356</f>
        <v/>
      </c>
      <c r="L137" s="8">
        <f>L$303*(L343+L351)/L$356</f>
        <v/>
      </c>
      <c r="M137" s="8">
        <f>M$303*(M343+M351)/M$356</f>
        <v/>
      </c>
      <c r="N137" s="8">
        <f>N$303*(N343+N351)/N$356</f>
        <v/>
      </c>
      <c r="O137" s="8">
        <f>O$303*(O343+O351)/O$356</f>
        <v/>
      </c>
      <c r="P137" s="8">
        <f>P$303*(P343+P351)/P$356</f>
        <v/>
      </c>
      <c r="Q137" s="241">
        <f>SUM(E137:P137)</f>
        <v/>
      </c>
      <c r="R137" s="224" t="n"/>
      <c r="T137" s="2584" t="n"/>
    </row>
    <row r="138" spans="1:33">
      <c r="A138" s="2614" t="n"/>
      <c r="B138" s="2630" t="n"/>
      <c r="C138" s="2631" t="n"/>
      <c r="D138" s="2576" t="s">
        <v>264</v>
      </c>
      <c r="E138" s="234">
        <f>E$334*E351/E355</f>
        <v/>
      </c>
      <c r="F138" s="234">
        <f>F$334*F351/F355</f>
        <v/>
      </c>
      <c r="G138" s="234">
        <f>G$334*G351/G355</f>
        <v/>
      </c>
      <c r="H138" s="234">
        <f>H$334*H351/H355</f>
        <v/>
      </c>
      <c r="I138" s="234">
        <f>I$334*I351/I355</f>
        <v/>
      </c>
      <c r="J138" s="234">
        <f>J$334*J351/J355</f>
        <v/>
      </c>
      <c r="K138" s="234">
        <f>K$334*K351/K355</f>
        <v/>
      </c>
      <c r="L138" s="234">
        <f>L$334*L351/L355</f>
        <v/>
      </c>
      <c r="M138" s="234">
        <f>M$334*M351/M355</f>
        <v/>
      </c>
      <c r="N138" s="234">
        <f>N$334*N351/N355</f>
        <v/>
      </c>
      <c r="O138" s="234">
        <f>O$334*O351/O355</f>
        <v/>
      </c>
      <c r="P138" s="234">
        <f>P$334*P351/P355</f>
        <v/>
      </c>
      <c r="Q138" s="232">
        <f>SUM(E138:P138)</f>
        <v/>
      </c>
      <c r="R138" s="224" t="n"/>
      <c r="T138" s="2585" t="n"/>
      <c r="U138" s="2422" t="n"/>
      <c r="V138" s="2422" t="n"/>
      <c r="W138" s="2422" t="n"/>
    </row>
    <row customHeight="1" ht="15" r="139" s="1843" spans="1:33" thickBot="1">
      <c r="A139" s="2620" t="n"/>
      <c r="B139" s="2621" t="n"/>
      <c r="C139" s="2622" t="n"/>
      <c r="D139" s="2623" t="s">
        <v>79</v>
      </c>
      <c r="E139" s="266">
        <f>E135+E137+E138</f>
        <v/>
      </c>
      <c r="F139" s="265">
        <f>F135+F137+F138</f>
        <v/>
      </c>
      <c r="G139" s="265">
        <f>G135+G137+G138</f>
        <v/>
      </c>
      <c r="H139" s="265">
        <f>H135+H137+H138</f>
        <v/>
      </c>
      <c r="I139" s="265">
        <f>I135+I137+I138</f>
        <v/>
      </c>
      <c r="J139" s="265">
        <f>J135+J137+J138</f>
        <v/>
      </c>
      <c r="K139" s="265">
        <f>K135+K137+K138</f>
        <v/>
      </c>
      <c r="L139" s="265">
        <f>L135+L137+L138</f>
        <v/>
      </c>
      <c r="M139" s="265">
        <f>M135+M137+M138</f>
        <v/>
      </c>
      <c r="N139" s="265">
        <f>N135+N137+N138</f>
        <v/>
      </c>
      <c r="O139" s="265">
        <f>O135+O137+O138</f>
        <v/>
      </c>
      <c r="P139" s="398">
        <f>P135+P137+P138</f>
        <v/>
      </c>
      <c r="Q139" s="264">
        <f>Q135+Q137+Q138</f>
        <v/>
      </c>
      <c r="R139" s="224" t="n"/>
    </row>
    <row customHeight="1" ht="16.5" outlineLevel="1" r="140" s="1843" spans="1:33" thickTop="1">
      <c r="A140" s="2587" t="s">
        <v>229</v>
      </c>
      <c r="B140" s="2588" t="n"/>
      <c r="C140" s="287" t="s">
        <v>243</v>
      </c>
      <c r="D140" s="2589" t="n"/>
      <c r="E140" s="298" t="n"/>
      <c r="F140" s="297" t="n"/>
      <c r="G140" s="297" t="n"/>
      <c r="H140" s="297" t="n"/>
      <c r="I140" s="297" t="n"/>
      <c r="J140" s="297" t="n"/>
      <c r="K140" s="297" t="n"/>
      <c r="L140" s="297" t="n"/>
      <c r="M140" s="388" t="n"/>
      <c r="N140" s="388" t="n"/>
      <c r="O140" s="388" t="n"/>
      <c r="P140" s="389" t="n"/>
      <c r="Q140" s="288">
        <f>SUM(E140:P140)</f>
        <v/>
      </c>
      <c r="S140" s="2395" t="n"/>
    </row>
    <row customFormat="1" customHeight="1" ht="18" outlineLevel="1" r="141" s="2422" spans="1:33">
      <c r="A141" s="2590" t="s">
        <v>230</v>
      </c>
      <c r="B141" s="2591" t="n"/>
      <c r="C141" s="296" t="s">
        <v>245</v>
      </c>
      <c r="D141" s="2624" t="n"/>
      <c r="E141" s="294" t="n">
        <v>242288.04</v>
      </c>
      <c r="F141" s="294" t="n">
        <v>95433.44</v>
      </c>
      <c r="G141" s="294">
        <f>438113.21+97283.87</f>
        <v/>
      </c>
      <c r="H141" s="294" t="n">
        <v>275115.74</v>
      </c>
      <c r="I141" s="294">
        <f>'[5]FY18 SET'!K97</f>
        <v/>
      </c>
      <c r="J141" s="294">
        <f>'[5]FY18 SET'!L97</f>
        <v/>
      </c>
      <c r="K141" s="293">
        <f>'[5]FY18 SET'!N97</f>
        <v/>
      </c>
      <c r="L141" s="293">
        <f>'[5]FY18 SET'!O97</f>
        <v/>
      </c>
      <c r="M141" s="293">
        <f>'[5]FY18 SET'!P97</f>
        <v/>
      </c>
      <c r="N141" s="293">
        <f>'[5]FY18 SET'!Q97</f>
        <v/>
      </c>
      <c r="O141" s="293">
        <f>'[5]FY18 SET'!R97</f>
        <v/>
      </c>
      <c r="P141" s="293">
        <f>'[5]FY18 SET'!S97</f>
        <v/>
      </c>
      <c r="Q141" s="292">
        <f>SUM(E141:P141)</f>
        <v/>
      </c>
      <c r="R141" s="2527">
        <f>'[5]FY18 SET'!U98</f>
        <v/>
      </c>
      <c r="S141" s="2527">
        <f>Q141-R141</f>
        <v/>
      </c>
      <c r="T141" s="2505" t="n"/>
      <c r="U141" s="2362" t="n"/>
      <c r="V141" s="2362" t="n"/>
      <c r="W141" s="2362" t="n"/>
      <c r="X141" s="2422" t="n"/>
      <c r="Y141" s="2422" t="n"/>
      <c r="Z141" s="2422" t="n"/>
      <c r="AA141" s="2422" t="n"/>
    </row>
    <row customHeight="1" ht="15.75" outlineLevel="1" r="142" s="1843" spans="1:33">
      <c r="A142" s="2596" t="n"/>
      <c r="B142" s="2594" t="s">
        <v>246</v>
      </c>
      <c r="C142" s="289" t="n"/>
      <c r="D142" s="2595" t="n"/>
      <c r="E142" s="1622">
        <f>SUM(E141)</f>
        <v/>
      </c>
      <c r="F142" s="1623">
        <f>SUM(F141)</f>
        <v/>
      </c>
      <c r="G142" s="1623">
        <f>SUM(G141)</f>
        <v/>
      </c>
      <c r="H142" s="1623">
        <f>SUM(H141)</f>
        <v/>
      </c>
      <c r="I142" s="1623">
        <f>SUM(I141)</f>
        <v/>
      </c>
      <c r="J142" s="1623">
        <f>SUM(J141)</f>
        <v/>
      </c>
      <c r="K142" s="1623">
        <f>SUM(K141)</f>
        <v/>
      </c>
      <c r="L142" s="1623">
        <f>SUM(L141)</f>
        <v/>
      </c>
      <c r="M142" s="1623">
        <f>SUM(M141)</f>
        <v/>
      </c>
      <c r="N142" s="1623">
        <f>SUM(N141)</f>
        <v/>
      </c>
      <c r="O142" s="1623">
        <f>SUM(O141)</f>
        <v/>
      </c>
      <c r="P142" s="1624">
        <f>SUM(P141)</f>
        <v/>
      </c>
      <c r="Q142" s="1625">
        <f>SUM(E142:P142)</f>
        <v/>
      </c>
    </row>
    <row customHeight="1" ht="15.75" outlineLevel="1" r="143" s="1843" spans="1:33">
      <c r="A143" s="2596" t="n"/>
      <c r="B143" s="2597" t="s">
        <v>247</v>
      </c>
      <c r="C143" s="1627" t="n"/>
      <c r="D143" s="2598" t="n"/>
      <c r="E143" s="1622" t="n"/>
      <c r="F143" s="1623" t="n"/>
      <c r="G143" s="1623" t="n"/>
      <c r="H143" s="1623" t="n"/>
      <c r="I143" s="1623" t="n"/>
      <c r="J143" s="1623" t="n"/>
      <c r="K143" s="1623" t="n"/>
      <c r="L143" s="1623" t="n"/>
      <c r="M143" s="1623" t="n"/>
      <c r="N143" s="1623" t="n"/>
      <c r="O143" s="1623" t="n"/>
      <c r="P143" s="1624" t="n"/>
      <c r="Q143" s="1625">
        <f>SUM(E143:P143)</f>
        <v/>
      </c>
    </row>
    <row customHeight="1" ht="15.75" outlineLevel="1" r="144" s="1843" spans="1:33">
      <c r="A144" s="2596" t="n"/>
      <c r="B144" s="2597" t="s">
        <v>248</v>
      </c>
      <c r="C144" s="1627" t="n"/>
      <c r="D144" s="2598" t="n"/>
      <c r="E144" s="277">
        <f>E142-E143</f>
        <v/>
      </c>
      <c r="F144" s="276">
        <f>F142-F143</f>
        <v/>
      </c>
      <c r="G144" s="276">
        <f>G142-G143</f>
        <v/>
      </c>
      <c r="H144" s="276">
        <f>H142-H143</f>
        <v/>
      </c>
      <c r="I144" s="276">
        <f>I142-I143</f>
        <v/>
      </c>
      <c r="J144" s="276">
        <f>J142-J143</f>
        <v/>
      </c>
      <c r="K144" s="276">
        <f>K142-K143</f>
        <v/>
      </c>
      <c r="L144" s="276">
        <f>L142-L143</f>
        <v/>
      </c>
      <c r="M144" s="276">
        <f>M142-M143</f>
        <v/>
      </c>
      <c r="N144" s="276">
        <f>N142-N143</f>
        <v/>
      </c>
      <c r="O144" s="276">
        <f>O142-O143</f>
        <v/>
      </c>
      <c r="P144" s="391">
        <f>P142-P143</f>
        <v/>
      </c>
      <c r="Q144" s="288">
        <f>SUM(E144:P144)</f>
        <v/>
      </c>
    </row>
    <row customFormat="1" customHeight="1" ht="15.75" outlineLevel="1" r="145" s="2362" spans="1:33">
      <c r="A145" s="2596" t="n"/>
      <c r="B145" s="2599" t="n"/>
      <c r="C145" s="1696" t="n"/>
      <c r="D145" s="2600" t="s">
        <v>249</v>
      </c>
      <c r="E145" s="1698" t="n"/>
      <c r="F145" s="1629" t="n"/>
      <c r="G145" s="1629" t="n"/>
      <c r="H145" s="1629" t="n"/>
      <c r="I145" s="1629" t="n"/>
      <c r="J145" s="1629" t="n"/>
      <c r="K145" s="1629" t="n"/>
      <c r="L145" s="1629" t="n"/>
      <c r="M145" s="1629" t="n"/>
      <c r="N145" s="1629" t="n"/>
      <c r="O145" s="1629" t="n"/>
      <c r="P145" s="1630" t="n"/>
      <c r="Q145" s="1699">
        <f>SUM(E145:P145)</f>
        <v/>
      </c>
      <c r="R145" s="2504" t="n"/>
      <c r="S145" s="2505" t="n"/>
      <c r="T145" s="2582" t="n"/>
      <c r="U145" s="2601" t="n"/>
      <c r="V145" s="2362" t="n"/>
      <c r="W145" s="2362" t="n"/>
      <c r="X145" s="2362" t="n"/>
    </row>
    <row customFormat="1" customHeight="1" ht="15.75" outlineLevel="1" r="146" s="2362" spans="1:33">
      <c r="A146" s="2596" t="n"/>
      <c r="B146" s="2588" t="n"/>
      <c r="C146" s="287" t="n"/>
      <c r="D146" s="2602" t="s">
        <v>250</v>
      </c>
      <c r="E146" s="283" t="n"/>
      <c r="F146" s="282" t="n"/>
      <c r="G146" s="282" t="n"/>
      <c r="H146" s="282" t="n"/>
      <c r="I146" s="282" t="n"/>
      <c r="J146" s="282" t="n"/>
      <c r="K146" s="282" t="n"/>
      <c r="L146" s="282" t="n"/>
      <c r="M146" s="282" t="n"/>
      <c r="N146" s="282" t="n"/>
      <c r="O146" s="282" t="n"/>
      <c r="P146" s="393" t="n"/>
      <c r="Q146" s="281">
        <f>SUM(E146:P146)</f>
        <v/>
      </c>
      <c r="R146" s="2504" t="n"/>
      <c r="S146" s="2505" t="n"/>
      <c r="T146" s="2505" t="n"/>
      <c r="U146" s="2362" t="n"/>
      <c r="V146" s="2362" t="n"/>
      <c r="W146" s="2362" t="n"/>
      <c r="X146" s="2362" t="n"/>
    </row>
    <row customFormat="1" customHeight="1" ht="15.75" outlineLevel="1" r="147" s="2362" spans="1:33">
      <c r="A147" s="2603" t="n"/>
      <c r="B147" s="2588" t="n"/>
      <c r="C147" s="285" t="s">
        <v>251</v>
      </c>
      <c r="D147" s="2598" t="n"/>
      <c r="E147" s="1622">
        <f>SUM(E145:E146)</f>
        <v/>
      </c>
      <c r="F147" s="1623">
        <f>SUM(F145:F146)</f>
        <v/>
      </c>
      <c r="G147" s="1623">
        <f>SUM(G145:G146)</f>
        <v/>
      </c>
      <c r="H147" s="1623">
        <f>SUM(H145:H146)</f>
        <v/>
      </c>
      <c r="I147" s="1623">
        <f>SUM(I145:I146)</f>
        <v/>
      </c>
      <c r="J147" s="1623">
        <f>SUM(J145:J146)</f>
        <v/>
      </c>
      <c r="K147" s="1623">
        <f>SUM(K145:K146)</f>
        <v/>
      </c>
      <c r="L147" s="1623">
        <f>SUM(L145:L146)</f>
        <v/>
      </c>
      <c r="M147" s="1623">
        <f>SUM(M145:M146)</f>
        <v/>
      </c>
      <c r="N147" s="1623">
        <f>SUM(N145:N146)</f>
        <v/>
      </c>
      <c r="O147" s="1623">
        <f>SUM(O145:O146)</f>
        <v/>
      </c>
      <c r="P147" s="1624">
        <f>SUM(P145:P146)</f>
        <v/>
      </c>
      <c r="Q147" s="1625">
        <f>SUM(E147:P147)</f>
        <v/>
      </c>
      <c r="R147" s="2504" t="n"/>
      <c r="S147" s="2505" t="n"/>
      <c r="T147" s="2505" t="n"/>
      <c r="U147" s="2362" t="n"/>
      <c r="V147" s="2362" t="n"/>
      <c r="W147" s="2362" t="n"/>
      <c r="X147" s="2362" t="n"/>
    </row>
    <row customFormat="1" customHeight="1" ht="15.75" outlineLevel="1" r="148" s="2362" spans="1:33">
      <c r="A148" s="2603" t="n"/>
      <c r="B148" s="2588" t="n"/>
      <c r="C148" s="1696" t="n"/>
      <c r="D148" s="2583" t="s">
        <v>187</v>
      </c>
      <c r="E148" s="1332">
        <f>117274.6+43000+31000</f>
        <v/>
      </c>
      <c r="F148" s="1332">
        <f>118565.72+43000+31000</f>
        <v/>
      </c>
      <c r="G148" s="1640">
        <f>12372.58+43000+31000</f>
        <v/>
      </c>
      <c r="H148" s="1332">
        <f>127744.32+43000+31000</f>
        <v/>
      </c>
      <c r="I148" s="1332">
        <f>125627.1941+43000+31000</f>
        <v/>
      </c>
      <c r="J148" s="1332">
        <f>123725.5207+43000+31000</f>
        <v/>
      </c>
      <c r="K148" s="1332">
        <f>125627.1941+43000+31000</f>
        <v/>
      </c>
      <c r="L148" s="1332">
        <f>125627.1941+43000+31000</f>
        <v/>
      </c>
      <c r="M148" s="1332">
        <f>133728.7503+43000+31000</f>
        <v/>
      </c>
      <c r="N148" s="1332">
        <f>125627.1941+43000+31000</f>
        <v/>
      </c>
      <c r="O148" s="1332">
        <f>125627.1941+43000+31000</f>
        <v/>
      </c>
      <c r="P148" s="1332">
        <f>144387.4837+43000+31000</f>
        <v/>
      </c>
      <c r="Q148" s="241">
        <f>SUM(E148:P148)</f>
        <v/>
      </c>
      <c r="R148" s="2527">
        <f>'[6]FY18 CFG'!Q148</f>
        <v/>
      </c>
      <c r="S148" s="2544" t="n"/>
      <c r="T148" s="2505" t="n"/>
      <c r="U148" s="2362" t="n"/>
      <c r="V148" s="2538">
        <f>Q148-R148</f>
        <v/>
      </c>
      <c r="W148" s="2538" t="n"/>
      <c r="X148" s="2377" t="n"/>
    </row>
    <row customFormat="1" customHeight="1" ht="15.75" outlineLevel="1" r="149" s="2362" spans="1:33">
      <c r="A149" s="2603" t="n"/>
      <c r="B149" s="2588" t="n"/>
      <c r="C149" s="287" t="n"/>
      <c r="D149" s="2382" t="s">
        <v>189</v>
      </c>
      <c r="E149" s="817" t="n"/>
      <c r="F149" s="818" t="n"/>
      <c r="G149" s="818" t="n"/>
      <c r="H149" s="818" t="n"/>
      <c r="I149" s="818" t="n">
        <v>150</v>
      </c>
      <c r="J149" s="818" t="n">
        <v>150</v>
      </c>
      <c r="K149" s="818" t="n">
        <v>150</v>
      </c>
      <c r="L149" s="818" t="n">
        <v>150</v>
      </c>
      <c r="M149" s="818" t="n">
        <v>150</v>
      </c>
      <c r="N149" s="818" t="n">
        <v>150</v>
      </c>
      <c r="O149" s="818" t="n">
        <v>150</v>
      </c>
      <c r="P149" s="819" t="n">
        <v>150</v>
      </c>
      <c r="Q149" s="241">
        <f>SUM(E149:P149)</f>
        <v/>
      </c>
      <c r="R149" s="2504" t="n"/>
      <c r="S149" s="2505" t="n"/>
      <c r="T149" s="2505" t="n"/>
      <c r="U149" s="2362" t="n"/>
      <c r="V149" s="2538" t="n"/>
      <c r="W149" s="2538" t="n"/>
      <c r="X149" s="2377" t="n"/>
    </row>
    <row customFormat="1" customHeight="1" ht="15.75" outlineLevel="1" r="150" s="2362" spans="1:33">
      <c r="A150" s="2625" t="n"/>
      <c r="B150" s="2588" t="n"/>
      <c r="C150" s="287" t="n"/>
      <c r="D150" s="2382" t="s">
        <v>252</v>
      </c>
      <c r="E150" s="1103">
        <f>E396+E401</f>
        <v/>
      </c>
      <c r="F150" s="1103">
        <f>F396+F401</f>
        <v/>
      </c>
      <c r="G150" s="1103">
        <f>G396+G401</f>
        <v/>
      </c>
      <c r="H150" s="1103">
        <f>H396+H401</f>
        <v/>
      </c>
      <c r="I150" s="1103">
        <f>I396+I401</f>
        <v/>
      </c>
      <c r="J150" s="1103">
        <f>J396+J401</f>
        <v/>
      </c>
      <c r="K150" s="1103">
        <f>K396+K401</f>
        <v/>
      </c>
      <c r="L150" s="1103">
        <f>L396+L401</f>
        <v/>
      </c>
      <c r="M150" s="1103">
        <f>M396+M401</f>
        <v/>
      </c>
      <c r="N150" s="1103">
        <f>N396+N401</f>
        <v/>
      </c>
      <c r="O150" s="1103">
        <f>O396+O401</f>
        <v/>
      </c>
      <c r="P150" s="1103">
        <f>P396+P401</f>
        <v/>
      </c>
      <c r="Q150" s="241">
        <f>SUM(E150:P150)</f>
        <v/>
      </c>
      <c r="R150" s="2504" t="n"/>
      <c r="S150" s="2505" t="n"/>
      <c r="T150" s="2505" t="n"/>
      <c r="U150" s="2362" t="n"/>
      <c r="V150" s="2538" t="n"/>
      <c r="W150" s="2538" t="n"/>
      <c r="X150" s="2377" t="n"/>
    </row>
    <row customFormat="1" outlineLevel="1" r="151" s="2362" spans="1:33">
      <c r="A151" s="2626" t="n"/>
      <c r="B151" s="2588" t="n"/>
      <c r="C151" s="287" t="n"/>
      <c r="D151" s="2382" t="s">
        <v>158</v>
      </c>
      <c r="E151" s="817" t="n">
        <v>3191.54</v>
      </c>
      <c r="F151" s="815" t="n">
        <v>3191.46</v>
      </c>
      <c r="G151" s="818" t="n">
        <v>3191.52</v>
      </c>
      <c r="H151" s="818" t="n">
        <v>3191.53</v>
      </c>
      <c r="I151" s="818" t="n">
        <v>4757.7184</v>
      </c>
      <c r="J151" s="818" t="n">
        <v>4757.7184</v>
      </c>
      <c r="K151" s="818" t="n">
        <v>4757.7184</v>
      </c>
      <c r="L151" s="818" t="n">
        <v>4757.7184</v>
      </c>
      <c r="M151" s="818" t="n">
        <v>4757.7184</v>
      </c>
      <c r="N151" s="818" t="n">
        <v>4952.7184</v>
      </c>
      <c r="O151" s="818" t="n">
        <v>4862.7184</v>
      </c>
      <c r="P151" s="819" t="n">
        <v>4862.7184</v>
      </c>
      <c r="Q151" s="241">
        <f>SUM(E151:P151)</f>
        <v/>
      </c>
      <c r="R151" s="2504" t="n"/>
      <c r="S151" s="2505" t="n"/>
      <c r="T151" s="2505" t="n"/>
      <c r="U151" s="2362" t="n"/>
      <c r="V151" s="2538" t="n"/>
      <c r="W151" s="2538" t="n"/>
      <c r="X151" s="2377" t="n"/>
    </row>
    <row customFormat="1" customHeight="1" ht="15.75" outlineLevel="1" r="152" s="2362" spans="1:33">
      <c r="A152" s="2625" t="n"/>
      <c r="B152" s="2588" t="n"/>
      <c r="C152" s="287" t="n"/>
      <c r="D152" s="2382" t="s">
        <v>192</v>
      </c>
      <c r="E152" s="1327" t="n">
        <v>1.55</v>
      </c>
      <c r="F152" s="815" t="n"/>
      <c r="G152" s="818" t="n">
        <v>40.6</v>
      </c>
      <c r="H152" s="818" t="n">
        <v>71.87</v>
      </c>
      <c r="I152" s="818" t="n">
        <v>150</v>
      </c>
      <c r="J152" s="818" t="n">
        <v>150</v>
      </c>
      <c r="K152" s="818" t="n">
        <v>150</v>
      </c>
      <c r="L152" s="818" t="n">
        <v>150</v>
      </c>
      <c r="M152" s="818" t="n">
        <v>150</v>
      </c>
      <c r="N152" s="818" t="n">
        <v>150</v>
      </c>
      <c r="O152" s="818" t="n">
        <v>150</v>
      </c>
      <c r="P152" s="819" t="n">
        <v>150</v>
      </c>
      <c r="Q152" s="241">
        <f>SUM(E152:P152)</f>
        <v/>
      </c>
      <c r="R152" s="2504" t="n"/>
      <c r="S152" s="2505" t="n"/>
      <c r="T152" s="2505" t="n"/>
      <c r="U152" s="2362" t="n"/>
      <c r="V152" s="2538" t="n"/>
      <c r="W152" s="2538" t="n"/>
      <c r="X152" s="2377" t="n"/>
    </row>
    <row customFormat="1" customHeight="1" ht="15.75" outlineLevel="1" r="153" s="2362" spans="1:33">
      <c r="A153" s="2625" t="n"/>
      <c r="B153" s="2588" t="n">
        <v>12273</v>
      </c>
      <c r="C153" s="287" t="n"/>
      <c r="D153" s="2382" t="s">
        <v>193</v>
      </c>
      <c r="E153" s="1327" t="n">
        <v>50842.28</v>
      </c>
      <c r="F153" s="1327" t="n">
        <v>219558.97</v>
      </c>
      <c r="G153" s="1327" t="n">
        <v>116096.59</v>
      </c>
      <c r="H153" s="1327" t="n">
        <v>156100.95</v>
      </c>
      <c r="I153" s="1327" t="n">
        <v>107500</v>
      </c>
      <c r="J153" s="1327" t="n">
        <v>107500</v>
      </c>
      <c r="K153" s="1327" t="n">
        <v>107500</v>
      </c>
      <c r="L153" s="1327" t="n">
        <v>107500</v>
      </c>
      <c r="M153" s="1327" t="n">
        <v>107500</v>
      </c>
      <c r="N153" s="1327" t="n">
        <v>107500</v>
      </c>
      <c r="O153" s="1327" t="n">
        <v>107500</v>
      </c>
      <c r="P153" s="1327" t="n">
        <v>107500</v>
      </c>
      <c r="Q153" s="241">
        <f>SUM(E153:P153)</f>
        <v/>
      </c>
      <c r="R153" s="2552" t="n"/>
      <c r="S153" s="2505" t="n"/>
      <c r="T153" s="2505" t="n"/>
      <c r="U153" s="2362" t="n"/>
      <c r="V153" s="2538" t="n"/>
      <c r="W153" s="2538" t="n"/>
      <c r="X153" s="2377" t="n"/>
    </row>
    <row customFormat="1" outlineLevel="1" r="154" s="2362" spans="1:33">
      <c r="A154" s="2605" t="n"/>
      <c r="B154" s="2588" t="n"/>
      <c r="C154" s="287" t="n"/>
      <c r="D154" s="2382" t="s">
        <v>213</v>
      </c>
      <c r="E154" s="1327" t="n">
        <v>14814.31</v>
      </c>
      <c r="F154" s="815" t="n">
        <v>19097.36</v>
      </c>
      <c r="G154" s="818" t="n">
        <v>16958.44</v>
      </c>
      <c r="H154" s="1192" t="n">
        <v>24119.94</v>
      </c>
      <c r="I154" s="818" t="n">
        <v>4100</v>
      </c>
      <c r="J154" s="818" t="n">
        <v>4100</v>
      </c>
      <c r="K154" s="818" t="n">
        <v>4100</v>
      </c>
      <c r="L154" s="818" t="n">
        <v>4100</v>
      </c>
      <c r="M154" s="818" t="n">
        <v>4100</v>
      </c>
      <c r="N154" s="818" t="n">
        <v>4100</v>
      </c>
      <c r="O154" s="818" t="n">
        <v>4100</v>
      </c>
      <c r="P154" s="819" t="n">
        <v>4100</v>
      </c>
      <c r="Q154" s="241">
        <f>SUM(E154:P154)</f>
        <v/>
      </c>
      <c r="R154" s="2504" t="n"/>
      <c r="S154" s="2505" t="n"/>
      <c r="T154" s="2505" t="n"/>
      <c r="U154" s="2362" t="n"/>
      <c r="V154" s="2538" t="n"/>
      <c r="W154" s="2538" t="n"/>
      <c r="X154" s="2377" t="n"/>
    </row>
    <row customFormat="1" customHeight="1" ht="15.75" outlineLevel="1" r="155" s="2362" spans="1:33">
      <c r="A155" s="2627" t="n"/>
      <c r="B155" s="2588" t="n"/>
      <c r="C155" s="287" t="n"/>
      <c r="D155" s="2382" t="s">
        <v>253</v>
      </c>
      <c r="E155" s="817" t="n"/>
      <c r="F155" s="818" t="n"/>
      <c r="G155" s="818" t="n"/>
      <c r="H155" s="818" t="n"/>
      <c r="I155" s="818" t="n"/>
      <c r="J155" s="818" t="n"/>
      <c r="K155" s="818" t="n"/>
      <c r="L155" s="818" t="n"/>
      <c r="M155" s="818" t="n"/>
      <c r="N155" s="818" t="n"/>
      <c r="O155" s="818" t="n"/>
      <c r="P155" s="819" t="n"/>
      <c r="Q155" s="241">
        <f>SUM(E155:P155)</f>
        <v/>
      </c>
      <c r="R155" s="2504" t="n"/>
      <c r="S155" s="2505" t="n"/>
      <c r="T155" s="2505" t="n"/>
      <c r="U155" s="2362" t="n"/>
      <c r="V155" s="2538" t="n"/>
      <c r="W155" s="2538" t="n"/>
      <c r="X155" s="2377" t="n"/>
    </row>
    <row customFormat="1" customHeight="1" ht="15.75" outlineLevel="1" r="156" s="2362" spans="1:33">
      <c r="A156" s="2627" t="n"/>
      <c r="B156" s="2588" t="n"/>
      <c r="C156" s="287" t="n"/>
      <c r="D156" s="2382" t="s">
        <v>254</v>
      </c>
      <c r="E156" s="1327" t="n"/>
      <c r="F156" s="815" t="n"/>
      <c r="G156" s="815" t="n"/>
      <c r="H156" s="815" t="n"/>
      <c r="I156" s="815" t="n"/>
      <c r="J156" s="815" t="n"/>
      <c r="K156" s="815" t="n"/>
      <c r="L156" s="815" t="n"/>
      <c r="M156" s="815" t="n"/>
      <c r="N156" s="815" t="n"/>
      <c r="O156" s="815" t="n"/>
      <c r="P156" s="816" t="n"/>
      <c r="Q156" s="241">
        <f>SUM(E156:P156)</f>
        <v/>
      </c>
      <c r="R156" s="2504" t="n"/>
      <c r="S156" s="2505" t="n"/>
      <c r="T156" s="2505" t="n"/>
      <c r="U156" s="2362" t="n"/>
      <c r="V156" s="2538" t="n"/>
      <c r="W156" s="2538" t="n"/>
      <c r="X156" s="2377" t="n"/>
    </row>
    <row customFormat="1" customHeight="1" ht="15.75" outlineLevel="1" r="157" s="2362" spans="1:33">
      <c r="A157" s="2627" t="n"/>
      <c r="B157" s="2588" t="n"/>
      <c r="C157" s="287" t="n"/>
      <c r="D157" s="2382" t="s">
        <v>255</v>
      </c>
      <c r="E157" s="1327" t="n">
        <v>0.04</v>
      </c>
      <c r="F157" s="815" t="n">
        <v>1.8</v>
      </c>
      <c r="G157" s="818" t="n">
        <v>133.23</v>
      </c>
      <c r="H157" s="820" t="n">
        <v>48.24</v>
      </c>
      <c r="I157" s="818" t="n">
        <v>150</v>
      </c>
      <c r="J157" s="818" t="n">
        <v>150</v>
      </c>
      <c r="K157" s="818" t="n">
        <v>150</v>
      </c>
      <c r="L157" s="818" t="n">
        <v>150</v>
      </c>
      <c r="M157" s="818" t="n">
        <v>150</v>
      </c>
      <c r="N157" s="818" t="n">
        <v>150</v>
      </c>
      <c r="O157" s="818" t="n">
        <v>150</v>
      </c>
      <c r="P157" s="819" t="n">
        <v>150</v>
      </c>
      <c r="Q157" s="241">
        <f>SUM(E157:P157)</f>
        <v/>
      </c>
      <c r="R157" s="2504" t="n"/>
      <c r="S157" s="2505" t="n"/>
      <c r="T157" s="2505" t="n"/>
      <c r="U157" s="2362" t="n"/>
      <c r="V157" s="2538" t="n"/>
      <c r="W157" s="2538" t="n"/>
      <c r="X157" s="2377" t="n"/>
    </row>
    <row customFormat="1" outlineLevel="1" r="158" s="2362" spans="1:33">
      <c r="A158" s="2605" t="n"/>
      <c r="B158" s="2588" t="n"/>
      <c r="C158" s="395" t="n"/>
      <c r="D158" s="2554" t="s">
        <v>256</v>
      </c>
      <c r="E158" s="835">
        <f>E445-E434+E451*E352/E355</f>
        <v/>
      </c>
      <c r="F158" s="835">
        <f>F445-F434+F451*F352/F355</f>
        <v/>
      </c>
      <c r="G158" s="835">
        <f>G445-G434+G451*G352/G355</f>
        <v/>
      </c>
      <c r="H158" s="835">
        <f>H445-H434+H451*H352/H355</f>
        <v/>
      </c>
      <c r="I158" s="835">
        <f>I445-I434+I451*I352/I355</f>
        <v/>
      </c>
      <c r="J158" s="835">
        <f>J445-J434+J451*J352/J355</f>
        <v/>
      </c>
      <c r="K158" s="835">
        <f>K445-K434+K451*K352/K355</f>
        <v/>
      </c>
      <c r="L158" s="835">
        <f>L445-L434+L451*L352/L355</f>
        <v/>
      </c>
      <c r="M158" s="835">
        <f>M445-M434+M451*M352/M355</f>
        <v/>
      </c>
      <c r="N158" s="835">
        <f>N445-N434+N451*N352/N355</f>
        <v/>
      </c>
      <c r="O158" s="835">
        <f>O445-O434+O451*O352/O355</f>
        <v/>
      </c>
      <c r="P158" s="835">
        <f>P445-P434+P451*P352/P355</f>
        <v/>
      </c>
      <c r="Q158" s="232">
        <f>SUM(E158:P158)</f>
        <v/>
      </c>
      <c r="R158" s="2555" t="n"/>
      <c r="S158" s="2505" t="n"/>
      <c r="T158" s="2505" t="n"/>
      <c r="U158" s="2362" t="n"/>
      <c r="V158" s="2538" t="n"/>
      <c r="W158" s="2538" t="n"/>
      <c r="X158" s="2377" t="n"/>
    </row>
    <row customFormat="1" customHeight="1" ht="15.75" outlineLevel="1" r="159" s="2362" spans="1:33">
      <c r="A159" s="2606" t="n"/>
      <c r="B159" s="2588" t="n"/>
      <c r="C159" s="287" t="n"/>
      <c r="D159" s="2556" t="s">
        <v>257</v>
      </c>
      <c r="E159" s="234" t="n"/>
      <c r="F159" s="233" t="n"/>
      <c r="G159" s="233" t="n"/>
      <c r="H159" s="233" t="n"/>
      <c r="I159" s="233" t="n"/>
      <c r="J159" s="233" t="n"/>
      <c r="K159" s="233" t="n"/>
      <c r="L159" s="233" t="n"/>
      <c r="M159" s="233" t="n"/>
      <c r="N159" s="233" t="n"/>
      <c r="O159" s="233" t="n"/>
      <c r="P159" s="380" t="n"/>
      <c r="Q159" s="232">
        <f>SUM(E159:P159)</f>
        <v/>
      </c>
      <c r="R159" s="2504" t="n"/>
      <c r="S159" s="2505" t="n"/>
      <c r="T159" s="2505" t="n"/>
      <c r="U159" s="2362" t="n"/>
      <c r="V159" s="2362" t="n"/>
      <c r="W159" s="2362" t="n"/>
      <c r="X159" s="2362" t="n"/>
    </row>
    <row customFormat="1" customHeight="1" ht="15.75" outlineLevel="1" r="160" s="2362" spans="1:33">
      <c r="A160" s="2606" t="n"/>
      <c r="B160" s="2588" t="n"/>
      <c r="C160" s="287" t="n"/>
      <c r="D160" s="2556" t="s">
        <v>258</v>
      </c>
      <c r="E160" s="234" t="n"/>
      <c r="F160" s="233" t="n"/>
      <c r="G160" s="233" t="n"/>
      <c r="H160" s="233" t="n"/>
      <c r="I160" s="233" t="n"/>
      <c r="J160" s="233" t="n"/>
      <c r="K160" s="233" t="n"/>
      <c r="L160" s="233" t="n"/>
      <c r="M160" s="233" t="n"/>
      <c r="N160" s="233" t="n"/>
      <c r="O160" s="233" t="n"/>
      <c r="P160" s="380" t="n"/>
      <c r="Q160" s="232">
        <f>SUM(E160:P160)</f>
        <v/>
      </c>
      <c r="R160" s="2504" t="n"/>
      <c r="S160" s="2505" t="n"/>
      <c r="T160" s="2505" t="n"/>
      <c r="U160" s="2362" t="n"/>
      <c r="V160" s="2362" t="n"/>
      <c r="W160" s="2362" t="n"/>
      <c r="X160" s="2362" t="n"/>
    </row>
    <row customHeight="1" ht="15.75" outlineLevel="1" r="161" s="1843" spans="1:33">
      <c r="A161" s="2606" t="n"/>
      <c r="B161" s="2588" t="n"/>
      <c r="C161" s="285" t="s">
        <v>214</v>
      </c>
      <c r="D161" s="2595" t="n"/>
      <c r="E161" s="283">
        <f>SUM(E148:E160)</f>
        <v/>
      </c>
      <c r="F161" s="282">
        <f>SUM(F148:F160)</f>
        <v/>
      </c>
      <c r="G161" s="282">
        <f>SUM(G148:G160)</f>
        <v/>
      </c>
      <c r="H161" s="282">
        <f>SUM(H148:H160)</f>
        <v/>
      </c>
      <c r="I161" s="282">
        <f>SUM(I148:I160)</f>
        <v/>
      </c>
      <c r="J161" s="282">
        <f>SUM(J148:J160)</f>
        <v/>
      </c>
      <c r="K161" s="282">
        <f>SUM(K148:K160)</f>
        <v/>
      </c>
      <c r="L161" s="282">
        <f>SUM(L148:L160)</f>
        <v/>
      </c>
      <c r="M161" s="282">
        <f>SUM(M148:M160)</f>
        <v/>
      </c>
      <c r="N161" s="282">
        <f>SUM(N148:N160)</f>
        <v/>
      </c>
      <c r="O161" s="282">
        <f>SUM(O148:O160)</f>
        <v/>
      </c>
      <c r="P161" s="393">
        <f>SUM(P148:P160)</f>
        <v/>
      </c>
      <c r="Q161" s="281">
        <f>SUM(E161:P161)</f>
        <v/>
      </c>
    </row>
    <row customHeight="1" ht="15.75" outlineLevel="1" r="162" s="1843" spans="1:33">
      <c r="A162" s="2606" t="n"/>
      <c r="B162" s="2588" t="n"/>
      <c r="C162" s="1696" t="n"/>
      <c r="D162" s="2558" t="s">
        <v>268</v>
      </c>
      <c r="E162" s="396">
        <f>E375+E479</f>
        <v/>
      </c>
      <c r="F162" s="396">
        <f>F375+F479</f>
        <v/>
      </c>
      <c r="G162" s="396">
        <f>G375+G479</f>
        <v/>
      </c>
      <c r="H162" s="396">
        <f>H375+H479</f>
        <v/>
      </c>
      <c r="I162" s="396">
        <f>I375+I479</f>
        <v/>
      </c>
      <c r="J162" s="396">
        <f>J375+J479</f>
        <v/>
      </c>
      <c r="K162" s="396">
        <f>K375+K479</f>
        <v/>
      </c>
      <c r="L162" s="396">
        <f>L375+L479</f>
        <v/>
      </c>
      <c r="M162" s="396">
        <f>M375+M479</f>
        <v/>
      </c>
      <c r="N162" s="396">
        <f>N375+N479</f>
        <v/>
      </c>
      <c r="O162" s="396">
        <f>O375+O479</f>
        <v/>
      </c>
      <c r="P162" s="396">
        <f>P375+P479</f>
        <v/>
      </c>
      <c r="Q162" s="241">
        <f>SUM(E162:P162)</f>
        <v/>
      </c>
    </row>
    <row customHeight="1" ht="15.75" outlineLevel="1" r="163" s="1843" spans="1:33">
      <c r="A163" s="2606" t="n"/>
      <c r="B163" s="2588" t="n"/>
      <c r="C163" s="1696" t="n"/>
      <c r="D163" s="2560" t="s">
        <v>161</v>
      </c>
      <c r="E163" s="396">
        <f>E423+E434</f>
        <v/>
      </c>
      <c r="F163" s="396">
        <f>F423+F434</f>
        <v/>
      </c>
      <c r="G163" s="396">
        <f>G423+G434</f>
        <v/>
      </c>
      <c r="H163" s="396">
        <f>H423+H434</f>
        <v/>
      </c>
      <c r="I163" s="396">
        <f>I423+I434</f>
        <v/>
      </c>
      <c r="J163" s="396">
        <f>J423+J434</f>
        <v/>
      </c>
      <c r="K163" s="396">
        <f>K423+K434</f>
        <v/>
      </c>
      <c r="L163" s="396">
        <f>L423+L434</f>
        <v/>
      </c>
      <c r="M163" s="396">
        <f>M423+M434</f>
        <v/>
      </c>
      <c r="N163" s="396">
        <f>N423+N434</f>
        <v/>
      </c>
      <c r="O163" s="396">
        <f>O423+O434</f>
        <v/>
      </c>
      <c r="P163" s="396">
        <f>P423+P434</f>
        <v/>
      </c>
      <c r="Q163" s="241">
        <f>SUM(E163:P163)</f>
        <v/>
      </c>
    </row>
    <row customHeight="1" ht="15.75" outlineLevel="1" r="164" s="1843" spans="1:33">
      <c r="A164" s="2606" t="n"/>
      <c r="B164" s="2588" t="n"/>
      <c r="C164" s="1702" t="n"/>
      <c r="D164" s="2561" t="s">
        <v>215</v>
      </c>
      <c r="E164" s="386">
        <f>E407*E170/E339</f>
        <v/>
      </c>
      <c r="F164" s="386">
        <f>F407*F170/F339</f>
        <v/>
      </c>
      <c r="G164" s="386">
        <f>G407*G170/G339</f>
        <v/>
      </c>
      <c r="H164" s="386">
        <f>H407*H170/H339</f>
        <v/>
      </c>
      <c r="I164" s="386">
        <f>I407*I170/I339</f>
        <v/>
      </c>
      <c r="J164" s="386">
        <f>J407*J170/J339</f>
        <v/>
      </c>
      <c r="K164" s="386">
        <f>K407*K170/K339</f>
        <v/>
      </c>
      <c r="L164" s="386">
        <f>L407*L170/L339</f>
        <v/>
      </c>
      <c r="M164" s="386">
        <f>M407*M170/M339</f>
        <v/>
      </c>
      <c r="N164" s="386">
        <f>N407*N170/N339</f>
        <v/>
      </c>
      <c r="O164" s="386">
        <f>O407*O170/O339</f>
        <v/>
      </c>
      <c r="P164" s="386">
        <f>P407*P170/P339</f>
        <v/>
      </c>
      <c r="Q164" s="232">
        <f>SUM(E164:P164)</f>
        <v/>
      </c>
    </row>
    <row customHeight="1" ht="15.75" outlineLevel="1" r="165" s="1843" spans="1:33">
      <c r="A165" s="2606" t="n"/>
      <c r="B165" s="2588" t="n"/>
      <c r="C165" s="285" t="s">
        <v>217</v>
      </c>
      <c r="D165" s="2595" t="n"/>
      <c r="E165" s="283">
        <f>SUM(E162:E164)</f>
        <v/>
      </c>
      <c r="F165" s="282">
        <f>SUM(F162:F164)</f>
        <v/>
      </c>
      <c r="G165" s="282">
        <f>SUM(G162:G164)</f>
        <v/>
      </c>
      <c r="H165" s="282">
        <f>SUM(H162:H164)</f>
        <v/>
      </c>
      <c r="I165" s="282">
        <f>SUM(I162:I164)</f>
        <v/>
      </c>
      <c r="J165" s="282">
        <f>SUM(J162:J164)</f>
        <v/>
      </c>
      <c r="K165" s="282">
        <f>SUM(K162:K164)</f>
        <v/>
      </c>
      <c r="L165" s="282">
        <f>SUM(L162:L164)</f>
        <v/>
      </c>
      <c r="M165" s="282">
        <f>SUM(M162:M164)</f>
        <v/>
      </c>
      <c r="N165" s="282">
        <f>SUM(N162:N164)</f>
        <v/>
      </c>
      <c r="O165" s="282">
        <f>SUM(O162:O164)</f>
        <v/>
      </c>
      <c r="P165" s="393">
        <f>SUM(P162:P164)</f>
        <v/>
      </c>
      <c r="Q165" s="281">
        <f>SUM(E165:P165)</f>
        <v/>
      </c>
    </row>
    <row outlineLevel="1" r="166" s="1843" spans="1:33">
      <c r="A166" s="2608" t="n"/>
      <c r="B166" s="2608" t="s">
        <v>259</v>
      </c>
      <c r="C166" s="405" t="n"/>
      <c r="D166" s="2609" t="n"/>
      <c r="E166" s="277">
        <f>SUM(E165,E161,E147)</f>
        <v/>
      </c>
      <c r="F166" s="276">
        <f>SUM(F165,F161,F147)</f>
        <v/>
      </c>
      <c r="G166" s="276">
        <f>SUM(G165,G161,G147)</f>
        <v/>
      </c>
      <c r="H166" s="276">
        <f>SUM(H165,H161,H147)</f>
        <v/>
      </c>
      <c r="I166" s="276">
        <f>SUM(I165,I161,I147)</f>
        <v/>
      </c>
      <c r="J166" s="276">
        <f>SUM(J165,J161,J147)</f>
        <v/>
      </c>
      <c r="K166" s="276">
        <f>SUM(K165,K161,K147)</f>
        <v/>
      </c>
      <c r="L166" s="276">
        <f>SUM(L165,L161,L147)</f>
        <v/>
      </c>
      <c r="M166" s="276">
        <f>SUM(M165,M161,M147)</f>
        <v/>
      </c>
      <c r="N166" s="276">
        <f>SUM(N165,N161,N147)</f>
        <v/>
      </c>
      <c r="O166" s="276">
        <f>SUM(O165,O161,O147)</f>
        <v/>
      </c>
      <c r="P166" s="1630">
        <f>SUM(P165,P161,P147)</f>
        <v/>
      </c>
      <c r="Q166" s="1699">
        <f>SUM(E166:P166)</f>
        <v/>
      </c>
    </row>
    <row r="167" spans="1:33">
      <c r="A167" s="2632" t="n"/>
      <c r="B167" s="2611" t="s">
        <v>260</v>
      </c>
      <c r="C167" s="1632" t="n"/>
      <c r="D167" s="2612" t="n"/>
      <c r="E167" s="1634">
        <f>E144-E166</f>
        <v/>
      </c>
      <c r="F167" s="1635">
        <f>F144-F166</f>
        <v/>
      </c>
      <c r="G167" s="1635">
        <f>G144-G166</f>
        <v/>
      </c>
      <c r="H167" s="1635">
        <f>H144-H166</f>
        <v/>
      </c>
      <c r="I167" s="1635">
        <f>I144-I166</f>
        <v/>
      </c>
      <c r="J167" s="1635">
        <f>J144-J166</f>
        <v/>
      </c>
      <c r="K167" s="1635">
        <f>K144-K166</f>
        <v/>
      </c>
      <c r="L167" s="1635">
        <f>L144-L166</f>
        <v/>
      </c>
      <c r="M167" s="1635">
        <f>M144-M166</f>
        <v/>
      </c>
      <c r="N167" s="1635">
        <f>N144-N166</f>
        <v/>
      </c>
      <c r="O167" s="1635">
        <f>O144-O166</f>
        <v/>
      </c>
      <c r="P167" s="1636">
        <f>P144-P166</f>
        <v/>
      </c>
      <c r="Q167" s="1637">
        <f>SUM(E167:P167)</f>
        <v/>
      </c>
    </row>
    <row r="168" spans="1:33">
      <c r="A168" s="2614" t="n"/>
      <c r="B168" s="2613" t="s">
        <v>261</v>
      </c>
      <c r="E168" s="1622" t="n"/>
      <c r="F168" s="1623" t="n"/>
      <c r="G168" s="1623" t="n"/>
      <c r="H168" s="1623" t="n"/>
      <c r="I168" s="1623" t="n"/>
      <c r="J168" s="1623" t="n"/>
      <c r="K168" s="1623" t="n"/>
      <c r="L168" s="1623" t="n"/>
      <c r="M168" s="1623" t="n"/>
      <c r="N168" s="1623" t="n"/>
      <c r="O168" s="1623" t="n"/>
      <c r="P168" s="1624" t="n"/>
      <c r="Q168" s="1637">
        <f>SUM(E168:P168)</f>
        <v/>
      </c>
    </row>
    <row customHeight="1" ht="15" r="169" s="1843" spans="1:33" thickBot="1">
      <c r="A169" s="2614" t="n"/>
      <c r="B169" s="2615" t="s">
        <v>262</v>
      </c>
      <c r="E169" s="1638">
        <f>E167-E168</f>
        <v/>
      </c>
      <c r="F169" s="1534">
        <f>F167-F168</f>
        <v/>
      </c>
      <c r="G169" s="1534">
        <f>G167-G168</f>
        <v/>
      </c>
      <c r="H169" s="1534">
        <f>H167-H168</f>
        <v/>
      </c>
      <c r="I169" s="1534">
        <f>I167-I168</f>
        <v/>
      </c>
      <c r="J169" s="1534">
        <f>J167-J168</f>
        <v/>
      </c>
      <c r="K169" s="1534">
        <f>K167-K168</f>
        <v/>
      </c>
      <c r="L169" s="1534">
        <f>L167-L168</f>
        <v/>
      </c>
      <c r="M169" s="1534">
        <f>M167-M168</f>
        <v/>
      </c>
      <c r="N169" s="1534">
        <f>N167-N168</f>
        <v/>
      </c>
      <c r="O169" s="1534">
        <f>O167-O168</f>
        <v/>
      </c>
      <c r="P169" s="1535">
        <f>P167-P168</f>
        <v/>
      </c>
      <c r="Q169" s="1639">
        <f>SUM(E169:P169)</f>
        <v/>
      </c>
      <c r="R169" s="224" t="n"/>
    </row>
    <row r="170" spans="1:33">
      <c r="A170" s="2614" t="n"/>
      <c r="B170" s="2616" t="n"/>
      <c r="C170" s="2617" t="n"/>
      <c r="D170" s="2573" t="s">
        <v>203</v>
      </c>
      <c r="E170" s="8" t="n">
        <v>5</v>
      </c>
      <c r="F170" s="8" t="n">
        <v>5</v>
      </c>
      <c r="G170" s="8" t="n">
        <v>5</v>
      </c>
      <c r="H170" s="8" t="n">
        <v>5</v>
      </c>
      <c r="I170" s="8" t="n">
        <v>4</v>
      </c>
      <c r="J170" s="8" t="n">
        <v>5</v>
      </c>
      <c r="K170" s="8" t="n">
        <v>5</v>
      </c>
      <c r="L170" s="8" t="n">
        <v>5</v>
      </c>
      <c r="M170" s="8" t="n">
        <v>5</v>
      </c>
      <c r="N170" s="8" t="n">
        <v>5</v>
      </c>
      <c r="O170" s="8" t="n">
        <v>5</v>
      </c>
      <c r="P170" s="8" t="n">
        <v>5</v>
      </c>
      <c r="Q170" s="241">
        <f>SUM(E170:P170)</f>
        <v/>
      </c>
      <c r="R170" s="224" t="n"/>
    </row>
    <row r="171" spans="1:33">
      <c r="A171" s="2614" t="n"/>
      <c r="B171" s="2616" t="n"/>
      <c r="C171" s="2617" t="n"/>
      <c r="D171" s="2573" t="s">
        <v>201</v>
      </c>
      <c r="E171" s="8">
        <f>E$303*(E344+E352)/E$356</f>
        <v/>
      </c>
      <c r="F171" s="8">
        <f>F$303*(F344+F352)/F$356</f>
        <v/>
      </c>
      <c r="G171" s="8">
        <f>G$303*(G344+G352)/G$356</f>
        <v/>
      </c>
      <c r="H171" s="8">
        <f>H$303*(H344+H352)/H$356</f>
        <v/>
      </c>
      <c r="I171" s="8">
        <f>I$303*(I344+I352)/I$356</f>
        <v/>
      </c>
      <c r="J171" s="8">
        <f>J$303*(J344+J352)/J$356</f>
        <v/>
      </c>
      <c r="K171" s="8">
        <f>K$303*(K344+K352)/K$356</f>
        <v/>
      </c>
      <c r="L171" s="8">
        <f>L$303*(L344+L352)/L$356</f>
        <v/>
      </c>
      <c r="M171" s="8">
        <f>M$303*(M344+M352)/M$356</f>
        <v/>
      </c>
      <c r="N171" s="8">
        <f>N$303*(N344+N352)/N$356</f>
        <v/>
      </c>
      <c r="O171" s="8">
        <f>O$303*(O344+O352)/O$356</f>
        <v/>
      </c>
      <c r="P171" s="8">
        <f>P$303*(P344+P352)/P$356</f>
        <v/>
      </c>
      <c r="Q171" s="241">
        <f>SUM(E171:P171)</f>
        <v/>
      </c>
      <c r="R171" s="224" t="n"/>
    </row>
    <row r="172" spans="1:33">
      <c r="A172" s="2614" t="n"/>
      <c r="B172" s="2618" t="n"/>
      <c r="C172" s="2619" t="n"/>
      <c r="D172" s="2576" t="s">
        <v>264</v>
      </c>
      <c r="E172" s="234">
        <f>E$334*E352/E355</f>
        <v/>
      </c>
      <c r="F172" s="234">
        <f>F$334*F352/F355</f>
        <v/>
      </c>
      <c r="G172" s="234">
        <f>G$334*G352/G355</f>
        <v/>
      </c>
      <c r="H172" s="234">
        <f>H$334*H352/H355</f>
        <v/>
      </c>
      <c r="I172" s="234">
        <f>I$334*I352/I355</f>
        <v/>
      </c>
      <c r="J172" s="234">
        <f>J$334*J352/J355</f>
        <v/>
      </c>
      <c r="K172" s="234">
        <f>K$334*K352/K355</f>
        <v/>
      </c>
      <c r="L172" s="234">
        <f>L$334*L352/L355</f>
        <v/>
      </c>
      <c r="M172" s="234">
        <f>M$334*M352/M355</f>
        <v/>
      </c>
      <c r="N172" s="234">
        <f>N$334*N352/N355</f>
        <v/>
      </c>
      <c r="O172" s="234">
        <f>O$334*O352/O355</f>
        <v/>
      </c>
      <c r="P172" s="234">
        <f>P$334*P352/P355</f>
        <v/>
      </c>
      <c r="Q172" s="232">
        <f>SUM(E172:P172)</f>
        <v/>
      </c>
      <c r="R172" s="224" t="n"/>
      <c r="U172" s="2422" t="n"/>
      <c r="V172" s="2422" t="n"/>
      <c r="W172" s="2422" t="n"/>
    </row>
    <row customHeight="1" ht="15" r="173" s="1843" spans="1:33" thickBot="1">
      <c r="A173" s="2620" t="n"/>
      <c r="B173" s="2621" t="n"/>
      <c r="C173" s="2622" t="n"/>
      <c r="D173" s="2623" t="s">
        <v>79</v>
      </c>
      <c r="E173" s="266">
        <f>E169+E171+E172</f>
        <v/>
      </c>
      <c r="F173" s="265">
        <f>F169+F171+F172</f>
        <v/>
      </c>
      <c r="G173" s="265">
        <f>G169+G171+G172</f>
        <v/>
      </c>
      <c r="H173" s="265">
        <f>H169+H171+H172</f>
        <v/>
      </c>
      <c r="I173" s="265">
        <f>I169+I171+I172</f>
        <v/>
      </c>
      <c r="J173" s="265">
        <f>J169+J171+J172</f>
        <v/>
      </c>
      <c r="K173" s="265">
        <f>K169+K171+K172</f>
        <v/>
      </c>
      <c r="L173" s="265">
        <f>L169+L171+L172</f>
        <v/>
      </c>
      <c r="M173" s="265">
        <f>M169+M171+M172</f>
        <v/>
      </c>
      <c r="N173" s="265">
        <f>N169+N171+N172</f>
        <v/>
      </c>
      <c r="O173" s="265">
        <f>O169+O171+O172</f>
        <v/>
      </c>
      <c r="P173" s="398">
        <f>P169+P171+P172</f>
        <v/>
      </c>
      <c r="Q173" s="264">
        <f>Q169+Q171+Q172</f>
        <v/>
      </c>
      <c r="R173" s="224" t="n"/>
    </row>
    <row customHeight="1" ht="16.5" outlineLevel="1" r="174" s="1843" spans="1:33" thickTop="1">
      <c r="A174" s="2587" t="s">
        <v>234</v>
      </c>
      <c r="B174" s="2588" t="n"/>
      <c r="C174" s="287" t="s">
        <v>243</v>
      </c>
      <c r="D174" s="2589" t="n"/>
      <c r="E174" s="298" t="n"/>
      <c r="F174" s="297" t="n"/>
      <c r="G174" s="297" t="n"/>
      <c r="H174" s="297" t="n"/>
      <c r="I174" s="297" t="n"/>
      <c r="J174" s="297" t="n"/>
      <c r="K174" s="297" t="n"/>
      <c r="L174" s="297" t="n"/>
      <c r="M174" s="388" t="n"/>
      <c r="N174" s="388" t="n"/>
      <c r="O174" s="388" t="n"/>
      <c r="P174" s="389" t="n"/>
      <c r="Q174" s="288">
        <f>SUM(E174:P174)</f>
        <v/>
      </c>
    </row>
    <row customFormat="1" customHeight="1" ht="15.75" outlineLevel="1" r="175" s="2422" spans="1:33">
      <c r="A175" s="2587" t="s">
        <v>121</v>
      </c>
      <c r="B175" s="2591" t="n"/>
      <c r="C175" s="296" t="s">
        <v>245</v>
      </c>
      <c r="D175" s="2624" t="n"/>
      <c r="E175" s="294">
        <f>98800+167763.23</f>
        <v/>
      </c>
      <c r="F175" s="294">
        <f>98800+167287.55</f>
        <v/>
      </c>
      <c r="G175" s="294">
        <f>98800+169973.84</f>
        <v/>
      </c>
      <c r="H175" s="294">
        <f>98800+166799.75</f>
        <v/>
      </c>
      <c r="I175" s="294">
        <f>'[5]FY18 SET'!K98</f>
        <v/>
      </c>
      <c r="J175" s="294">
        <f>'[5]FY18 SET'!L98</f>
        <v/>
      </c>
      <c r="K175" s="293">
        <f>'[5]FY18 SET'!N98</f>
        <v/>
      </c>
      <c r="L175" s="293">
        <f>'[5]FY18 SET'!O98</f>
        <v/>
      </c>
      <c r="M175" s="293">
        <f>'[5]FY18 SET'!P98</f>
        <v/>
      </c>
      <c r="N175" s="293">
        <f>'[5]FY18 SET'!Q98</f>
        <v/>
      </c>
      <c r="O175" s="293">
        <f>'[5]FY18 SET'!R98</f>
        <v/>
      </c>
      <c r="P175" s="293">
        <f>'[5]FY18 SET'!S98</f>
        <v/>
      </c>
      <c r="Q175" s="292">
        <f>SUM(E175:P175)</f>
        <v/>
      </c>
      <c r="R175" s="2527">
        <f>'[5]FY18 SET'!U100</f>
        <v/>
      </c>
      <c r="S175" s="2527">
        <f>Q175-R175</f>
        <v/>
      </c>
      <c r="T175" s="2505" t="n"/>
      <c r="U175" s="2362" t="n"/>
      <c r="V175" s="2362" t="n"/>
      <c r="W175" s="2362" t="n"/>
      <c r="X175" s="2422" t="n"/>
      <c r="Y175" s="2422" t="n"/>
      <c r="Z175" s="2422" t="n"/>
      <c r="AA175" s="2422" t="n"/>
    </row>
    <row outlineLevel="1" r="176" s="1843" spans="1:33">
      <c r="A176" s="2632" t="n"/>
      <c r="B176" s="2594" t="s">
        <v>246</v>
      </c>
      <c r="C176" s="289" t="n"/>
      <c r="D176" s="2595" t="n"/>
      <c r="E176" s="1622">
        <f>SUM(E175)</f>
        <v/>
      </c>
      <c r="F176" s="1623">
        <f>SUM(F175)</f>
        <v/>
      </c>
      <c r="G176" s="1623">
        <f>SUM(G175)</f>
        <v/>
      </c>
      <c r="H176" s="1623">
        <f>SUM(H175)</f>
        <v/>
      </c>
      <c r="I176" s="1623">
        <f>SUM(I175)</f>
        <v/>
      </c>
      <c r="J176" s="1623">
        <f>SUM(J175)</f>
        <v/>
      </c>
      <c r="K176" s="1623">
        <f>SUM(K175)</f>
        <v/>
      </c>
      <c r="L176" s="1623">
        <f>SUM(L175)</f>
        <v/>
      </c>
      <c r="M176" s="1623">
        <f>SUM(M175)</f>
        <v/>
      </c>
      <c r="N176" s="1623">
        <f>SUM(N175)</f>
        <v/>
      </c>
      <c r="O176" s="1623">
        <f>SUM(O175)</f>
        <v/>
      </c>
      <c r="P176" s="1624">
        <f>SUM(P175)</f>
        <v/>
      </c>
      <c r="Q176" s="1625">
        <f>SUM(E176:P176)</f>
        <v/>
      </c>
    </row>
    <row customFormat="1" outlineLevel="1" r="177" s="2362" spans="1:33">
      <c r="A177" s="2632" t="n"/>
      <c r="B177" s="2597" t="s">
        <v>247</v>
      </c>
      <c r="C177" s="1627" t="n"/>
      <c r="D177" s="2598" t="n"/>
      <c r="E177" s="1622" t="n"/>
      <c r="F177" s="1623" t="n"/>
      <c r="G177" s="1623" t="n"/>
      <c r="H177" s="1623" t="n"/>
      <c r="I177" s="1623" t="n"/>
      <c r="J177" s="1623" t="n"/>
      <c r="K177" s="1623" t="n"/>
      <c r="L177" s="1623" t="n"/>
      <c r="M177" s="1623" t="n"/>
      <c r="N177" s="1623" t="n"/>
      <c r="O177" s="1623" t="n"/>
      <c r="P177" s="1624" t="n"/>
      <c r="Q177" s="1625">
        <f>SUM(E177:P177)</f>
        <v/>
      </c>
      <c r="R177" s="2504" t="n"/>
      <c r="S177" s="2505" t="n"/>
      <c r="T177" s="2505" t="n"/>
      <c r="U177" s="2362" t="n"/>
      <c r="V177" s="2362" t="n"/>
      <c r="W177" s="2362" t="n"/>
      <c r="X177" s="2362" t="n"/>
    </row>
    <row customFormat="1" outlineLevel="1" r="178" s="2362" spans="1:33">
      <c r="A178" s="2632" t="n"/>
      <c r="B178" s="2597" t="s">
        <v>248</v>
      </c>
      <c r="C178" s="1627" t="n"/>
      <c r="D178" s="2598" t="n"/>
      <c r="E178" s="277">
        <f>E176-E177</f>
        <v/>
      </c>
      <c r="F178" s="276">
        <f>F176-F177</f>
        <v/>
      </c>
      <c r="G178" s="276">
        <f>G176-G177</f>
        <v/>
      </c>
      <c r="H178" s="276">
        <f>H176-H177</f>
        <v/>
      </c>
      <c r="I178" s="276">
        <f>I176-I177</f>
        <v/>
      </c>
      <c r="J178" s="276">
        <f>J176-J177</f>
        <v/>
      </c>
      <c r="K178" s="276">
        <f>K176-K177</f>
        <v/>
      </c>
      <c r="L178" s="276">
        <f>L176-L177</f>
        <v/>
      </c>
      <c r="M178" s="276">
        <f>M176-M177</f>
        <v/>
      </c>
      <c r="N178" s="276">
        <f>N176-N177</f>
        <v/>
      </c>
      <c r="O178" s="276">
        <f>O176-O177</f>
        <v/>
      </c>
      <c r="P178" s="391">
        <f>P176-P177</f>
        <v/>
      </c>
      <c r="Q178" s="288">
        <f>SUM(E178:P178)</f>
        <v/>
      </c>
      <c r="R178" s="2504" t="n"/>
      <c r="S178" s="2505" t="n"/>
      <c r="T178" s="2505" t="n"/>
      <c r="U178" s="2362" t="n"/>
      <c r="V178" s="2362" t="n"/>
      <c r="W178" s="2362" t="n"/>
      <c r="X178" s="2362" t="n"/>
    </row>
    <row customFormat="1" outlineLevel="1" r="179" s="2362" spans="1:33">
      <c r="A179" s="2632" t="n"/>
      <c r="B179" s="2599" t="n"/>
      <c r="C179" s="1696" t="n"/>
      <c r="D179" s="2600" t="s">
        <v>249</v>
      </c>
      <c r="E179" s="1698" t="n"/>
      <c r="F179" s="1629" t="n"/>
      <c r="G179" s="1629" t="n"/>
      <c r="H179" s="1629" t="n"/>
      <c r="I179" s="1629" t="n"/>
      <c r="J179" s="1629" t="n"/>
      <c r="K179" s="1629" t="n"/>
      <c r="L179" s="1629" t="n"/>
      <c r="M179" s="1629" t="n"/>
      <c r="N179" s="1629" t="n"/>
      <c r="O179" s="1629" t="n"/>
      <c r="P179" s="1630" t="n"/>
      <c r="Q179" s="1699">
        <f>SUM(E179:P179)</f>
        <v/>
      </c>
      <c r="R179" s="2504" t="n"/>
      <c r="S179" s="2505" t="n"/>
      <c r="T179" s="2582" t="n"/>
      <c r="U179" s="2601" t="n"/>
      <c r="V179" s="2362" t="n"/>
      <c r="W179" s="2362" t="n"/>
      <c r="X179" s="2362" t="n"/>
    </row>
    <row customFormat="1" outlineLevel="1" r="180" s="2362" spans="1:33">
      <c r="A180" s="2632" t="n"/>
      <c r="B180" s="2588" t="n"/>
      <c r="C180" s="287" t="n"/>
      <c r="D180" s="2602" t="s">
        <v>250</v>
      </c>
      <c r="E180" s="283" t="n"/>
      <c r="F180" s="282" t="n"/>
      <c r="G180" s="282" t="n"/>
      <c r="H180" s="282" t="n"/>
      <c r="I180" s="282" t="n"/>
      <c r="J180" s="282" t="n"/>
      <c r="K180" s="282" t="n"/>
      <c r="L180" s="282" t="n"/>
      <c r="M180" s="282" t="n"/>
      <c r="N180" s="282" t="n"/>
      <c r="O180" s="282" t="n"/>
      <c r="P180" s="393" t="n"/>
      <c r="Q180" s="281">
        <f>SUM(E180:P180)</f>
        <v/>
      </c>
      <c r="R180" s="2504" t="n"/>
      <c r="S180" s="2505" t="n"/>
      <c r="T180" s="2505" t="n"/>
      <c r="U180" s="2362" t="n"/>
      <c r="V180" s="2362" t="n"/>
      <c r="W180" s="2362" t="n"/>
      <c r="X180" s="2362" t="n"/>
    </row>
    <row customFormat="1" outlineLevel="1" r="181" s="2362" spans="1:33">
      <c r="A181" s="2632" t="n"/>
      <c r="B181" s="2588" t="n"/>
      <c r="C181" s="285" t="s">
        <v>251</v>
      </c>
      <c r="D181" s="2598" t="n"/>
      <c r="E181" s="1622">
        <f>SUM(E179:E180)</f>
        <v/>
      </c>
      <c r="F181" s="1623">
        <f>SUM(F179:F180)</f>
        <v/>
      </c>
      <c r="G181" s="1623">
        <f>SUM(G179:G180)</f>
        <v/>
      </c>
      <c r="H181" s="1623">
        <f>SUM(H179:H180)</f>
        <v/>
      </c>
      <c r="I181" s="1623">
        <f>SUM(I179:I180)</f>
        <v/>
      </c>
      <c r="J181" s="1623">
        <f>SUM(J179:J180)</f>
        <v/>
      </c>
      <c r="K181" s="1623">
        <f>SUM(K179:K180)</f>
        <v/>
      </c>
      <c r="L181" s="1623">
        <f>SUM(L179:L180)</f>
        <v/>
      </c>
      <c r="M181" s="1623">
        <f>SUM(M179:M180)</f>
        <v/>
      </c>
      <c r="N181" s="1623">
        <f>SUM(N179:N180)</f>
        <v/>
      </c>
      <c r="O181" s="1623">
        <f>SUM(O179:O180)</f>
        <v/>
      </c>
      <c r="P181" s="1624">
        <f>SUM(P179:P180)</f>
        <v/>
      </c>
      <c r="Q181" s="1625">
        <f>SUM(E181:P181)</f>
        <v/>
      </c>
      <c r="R181" s="2504" t="n"/>
      <c r="S181" s="2505" t="n"/>
      <c r="T181" s="2505" t="n"/>
      <c r="U181" s="2362" t="n"/>
      <c r="V181" s="2362" t="n"/>
      <c r="W181" s="2362" t="n"/>
      <c r="X181" s="2362" t="n"/>
    </row>
    <row customFormat="1" customHeight="1" ht="15" outlineLevel="1" r="182" s="2362" spans="1:33">
      <c r="A182" s="2632" t="n"/>
      <c r="B182" s="2604" t="n"/>
      <c r="C182" s="1700" t="n"/>
      <c r="D182" s="2583" t="s">
        <v>187</v>
      </c>
      <c r="E182" s="8" t="n">
        <v>81086.83</v>
      </c>
      <c r="F182" s="9" t="n">
        <v>80610.98999999999</v>
      </c>
      <c r="G182" s="1380" t="n">
        <v>72770.48</v>
      </c>
      <c r="H182" s="1380" t="n">
        <v>80876.10000000001</v>
      </c>
      <c r="I182" s="1380" t="n">
        <v>72651.9295</v>
      </c>
      <c r="J182" s="1380" t="n">
        <v>73125.06600000001</v>
      </c>
      <c r="K182" s="1380" t="n">
        <v>72651.9295</v>
      </c>
      <c r="L182" s="1380" t="n">
        <v>72651.9295</v>
      </c>
      <c r="M182" s="1380" t="n">
        <v>25796.0717</v>
      </c>
      <c r="N182" s="1380" t="n">
        <v>72651.9295</v>
      </c>
      <c r="O182" s="1380" t="n">
        <v>72651.9295</v>
      </c>
      <c r="P182" s="385" t="n">
        <v>79262.15519999999</v>
      </c>
      <c r="Q182" s="241">
        <f>SUM(E182:P182)</f>
        <v/>
      </c>
      <c r="R182" s="2527">
        <f>'[6]FY18 CFG'!Q182</f>
        <v/>
      </c>
      <c r="S182" s="2544" t="n"/>
      <c r="T182" s="2505" t="n"/>
      <c r="U182" s="2362" t="n"/>
      <c r="V182" s="2538">
        <f>Q182-R182</f>
        <v/>
      </c>
      <c r="W182" s="2538" t="n"/>
      <c r="X182" s="2377" t="n"/>
    </row>
    <row customFormat="1" outlineLevel="1" r="183" s="2362" spans="1:33">
      <c r="A183" s="2632" t="n"/>
      <c r="B183" s="2588" t="n"/>
      <c r="C183" s="287" t="n"/>
      <c r="D183" s="2382" t="s">
        <v>189</v>
      </c>
      <c r="E183" s="11" t="n"/>
      <c r="F183" s="1380" t="n"/>
      <c r="G183" s="1380" t="n"/>
      <c r="H183" s="1380" t="n"/>
      <c r="I183" s="1380" t="n">
        <v>200</v>
      </c>
      <c r="J183" s="1380" t="n">
        <v>200</v>
      </c>
      <c r="K183" s="1380" t="n">
        <v>200</v>
      </c>
      <c r="L183" s="1380" t="n">
        <v>200</v>
      </c>
      <c r="M183" s="1380" t="n">
        <v>200</v>
      </c>
      <c r="N183" s="1380" t="n">
        <v>200</v>
      </c>
      <c r="O183" s="1380" t="n">
        <v>200</v>
      </c>
      <c r="P183" s="385" t="n">
        <v>200</v>
      </c>
      <c r="Q183" s="241">
        <f>SUM(E183:P183)</f>
        <v/>
      </c>
      <c r="R183" s="2504" t="n"/>
      <c r="S183" s="2505" t="n"/>
      <c r="T183" s="2505" t="n"/>
      <c r="U183" s="2362" t="n"/>
      <c r="V183" s="2538" t="n"/>
      <c r="W183" s="2538" t="n"/>
      <c r="X183" s="2377" t="n"/>
    </row>
    <row customFormat="1" outlineLevel="1" r="184" s="2362" spans="1:33">
      <c r="A184" s="2632" t="n"/>
      <c r="B184" s="2588" t="n"/>
      <c r="C184" s="287" t="n"/>
      <c r="D184" s="2382" t="s">
        <v>252</v>
      </c>
      <c r="E184" s="11" t="n"/>
      <c r="F184" s="9" t="n"/>
      <c r="G184" s="9" t="n"/>
      <c r="H184" s="9" t="n">
        <v>223.27</v>
      </c>
      <c r="I184" s="9" t="n">
        <v>727.85</v>
      </c>
      <c r="J184" s="9" t="n">
        <v>727.85</v>
      </c>
      <c r="K184" s="9" t="n">
        <v>727.85</v>
      </c>
      <c r="L184" s="9" t="n">
        <v>727.85</v>
      </c>
      <c r="M184" s="9" t="n">
        <v>727.85</v>
      </c>
      <c r="N184" s="9" t="n">
        <v>727.85</v>
      </c>
      <c r="O184" s="9" t="n">
        <v>727.85</v>
      </c>
      <c r="P184" s="9" t="n">
        <v>727.85</v>
      </c>
      <c r="Q184" s="241">
        <f>SUM(E184:P184)</f>
        <v/>
      </c>
      <c r="R184" s="2504" t="n"/>
      <c r="S184" s="2505" t="n"/>
      <c r="T184" s="2505" t="n"/>
      <c r="U184" s="2362" t="n"/>
      <c r="V184" s="2538" t="n"/>
      <c r="W184" s="2538" t="n"/>
      <c r="X184" s="2377" t="n"/>
    </row>
    <row customFormat="1" outlineLevel="1" r="185" s="2362" spans="1:33">
      <c r="A185" s="2632" t="n"/>
      <c r="B185" s="2588" t="n"/>
      <c r="C185" s="287" t="n"/>
      <c r="D185" s="2382" t="s">
        <v>158</v>
      </c>
      <c r="E185" s="11" t="n">
        <v>304.74</v>
      </c>
      <c r="F185" s="1100" t="n">
        <v>304.75</v>
      </c>
      <c r="G185" s="1101" t="n">
        <v>304.74</v>
      </c>
      <c r="H185" s="1101" t="n">
        <v>304.74</v>
      </c>
      <c r="I185" s="1101" t="n">
        <v>389.9126</v>
      </c>
      <c r="J185" s="1101" t="n">
        <v>389.9126</v>
      </c>
      <c r="K185" s="1101" t="n">
        <v>389.9126</v>
      </c>
      <c r="L185" s="1101" t="n">
        <v>389.9126</v>
      </c>
      <c r="M185" s="1101" t="n">
        <v>389.9126</v>
      </c>
      <c r="N185" s="1101" t="n">
        <v>389.9126</v>
      </c>
      <c r="O185" s="1101" t="n">
        <v>389.9126</v>
      </c>
      <c r="P185" s="1101" t="n">
        <v>389.9126</v>
      </c>
      <c r="Q185" s="241">
        <f>SUM(E185:P185)</f>
        <v/>
      </c>
      <c r="R185" s="2504" t="n"/>
      <c r="S185" s="2505" t="n"/>
      <c r="T185" s="2505" t="n"/>
      <c r="U185" s="2362" t="n"/>
      <c r="V185" s="2538" t="n"/>
      <c r="W185" s="2538" t="n"/>
      <c r="X185" s="2377" t="n"/>
    </row>
    <row customFormat="1" outlineLevel="1" r="186" s="2362" spans="1:33">
      <c r="A186" s="2632" t="n"/>
      <c r="B186" s="2588" t="n"/>
      <c r="C186" s="287" t="n"/>
      <c r="D186" s="2382" t="s">
        <v>192</v>
      </c>
      <c r="E186" s="9" t="n"/>
      <c r="F186" s="9" t="n">
        <v>77.47</v>
      </c>
      <c r="G186" s="9" t="n"/>
      <c r="H186" s="9" t="n"/>
      <c r="I186" s="1101" t="n">
        <v>200</v>
      </c>
      <c r="J186" s="1380" t="n">
        <v>200</v>
      </c>
      <c r="K186" s="1380" t="n">
        <v>200</v>
      </c>
      <c r="L186" s="1380" t="n">
        <v>200</v>
      </c>
      <c r="M186" s="1380" t="n">
        <v>200</v>
      </c>
      <c r="N186" s="1380" t="n">
        <v>200</v>
      </c>
      <c r="O186" s="1380" t="n">
        <v>200</v>
      </c>
      <c r="P186" s="1380" t="n">
        <v>200</v>
      </c>
      <c r="Q186" s="241">
        <f>SUM(E186:P186)</f>
        <v/>
      </c>
      <c r="R186" s="2504" t="n"/>
      <c r="S186" s="2505" t="n"/>
      <c r="T186" s="2505" t="n"/>
      <c r="U186" s="2362" t="n"/>
      <c r="V186" s="2538" t="n"/>
      <c r="W186" s="2538" t="n"/>
      <c r="X186" s="2377" t="n"/>
    </row>
    <row customFormat="1" outlineLevel="1" r="187" s="2362" spans="1:33">
      <c r="A187" s="2632" t="n"/>
      <c r="B187" s="2588" t="n">
        <v>12276</v>
      </c>
      <c r="C187" s="287" t="n"/>
      <c r="D187" s="2382" t="s">
        <v>193</v>
      </c>
      <c r="E187" s="9" t="n">
        <v>66222.25</v>
      </c>
      <c r="F187" s="9" t="n">
        <v>59991.24</v>
      </c>
      <c r="G187" s="9" t="n">
        <v>71786.62</v>
      </c>
      <c r="H187" s="9" t="n">
        <v>70130.94</v>
      </c>
      <c r="I187" s="9" t="n">
        <v>66000</v>
      </c>
      <c r="J187" s="9" t="n">
        <v>66000</v>
      </c>
      <c r="K187" s="9" t="n">
        <v>66000</v>
      </c>
      <c r="L187" s="9" t="n">
        <v>66000</v>
      </c>
      <c r="M187" s="9" t="n">
        <v>66000</v>
      </c>
      <c r="N187" s="9" t="n">
        <v>66000</v>
      </c>
      <c r="O187" s="9" t="n">
        <v>66000</v>
      </c>
      <c r="P187" s="9" t="n">
        <v>66000</v>
      </c>
      <c r="Q187" s="241">
        <f>SUM(E187:P187)</f>
        <v/>
      </c>
      <c r="R187" s="2504" t="n"/>
      <c r="S187" s="2505" t="n"/>
      <c r="T187" s="2505" t="n"/>
      <c r="U187" s="2362" t="n"/>
      <c r="V187" s="2538" t="n"/>
      <c r="W187" s="2538" t="n"/>
      <c r="X187" s="2377" t="n"/>
    </row>
    <row customFormat="1" outlineLevel="1" r="188" s="2362" spans="1:33">
      <c r="A188" s="2632" t="n"/>
      <c r="B188" s="2588" t="n"/>
      <c r="C188" s="287" t="n"/>
      <c r="D188" s="2382" t="s">
        <v>213</v>
      </c>
      <c r="E188" s="8" t="n"/>
      <c r="F188" s="9" t="n"/>
      <c r="G188" s="1380" t="n"/>
      <c r="H188" s="1380" t="n"/>
      <c r="I188" s="1380" t="n">
        <v>3400</v>
      </c>
      <c r="J188" s="1380" t="n">
        <v>3400</v>
      </c>
      <c r="K188" s="1380" t="n">
        <v>3400</v>
      </c>
      <c r="L188" s="1380" t="n">
        <v>3400</v>
      </c>
      <c r="M188" s="1380" t="n">
        <v>3400</v>
      </c>
      <c r="N188" s="1380" t="n">
        <v>3400</v>
      </c>
      <c r="O188" s="1380" t="n">
        <v>3400</v>
      </c>
      <c r="P188" s="385" t="n">
        <v>3400</v>
      </c>
      <c r="Q188" s="241">
        <f>SUM(E188:P188)</f>
        <v/>
      </c>
      <c r="R188" s="2504" t="n"/>
      <c r="S188" s="2505" t="n"/>
      <c r="T188" s="2505" t="n"/>
      <c r="U188" s="2362" t="n"/>
      <c r="V188" s="2538" t="n"/>
      <c r="W188" s="2538" t="n"/>
      <c r="X188" s="2377" t="n"/>
    </row>
    <row customFormat="1" outlineLevel="1" r="189" s="2362" spans="1:33">
      <c r="A189" s="2632" t="n"/>
      <c r="B189" s="2588" t="n"/>
      <c r="C189" s="287" t="n"/>
      <c r="D189" s="2382" t="s">
        <v>253</v>
      </c>
      <c r="E189" s="11" t="n"/>
      <c r="F189" s="1380" t="n"/>
      <c r="G189" s="1380" t="n"/>
      <c r="H189" s="2362" t="n"/>
      <c r="I189" s="1380" t="n"/>
      <c r="J189" s="1380" t="n"/>
      <c r="K189" s="1380" t="n"/>
      <c r="L189" s="1380" t="n"/>
      <c r="M189" s="1380" t="n"/>
      <c r="N189" s="1380" t="n"/>
      <c r="O189" s="1380" t="n"/>
      <c r="P189" s="385" t="n"/>
      <c r="Q189" s="241">
        <f>SUM(E189:P189)</f>
        <v/>
      </c>
      <c r="R189" s="2504" t="n"/>
      <c r="S189" s="2505" t="n"/>
      <c r="T189" s="2505" t="n"/>
      <c r="U189" s="2362" t="n"/>
      <c r="V189" s="2538" t="n"/>
      <c r="W189" s="2538" t="n"/>
      <c r="X189" s="2377" t="n"/>
    </row>
    <row customFormat="1" outlineLevel="1" r="190" s="2362" spans="1:33">
      <c r="A190" s="2632" t="n"/>
      <c r="B190" s="2588" t="n"/>
      <c r="C190" s="287" t="n"/>
      <c r="D190" s="2382" t="s">
        <v>254</v>
      </c>
      <c r="E190" s="11" t="n"/>
      <c r="F190" s="1380" t="n"/>
      <c r="G190" s="1380" t="n"/>
      <c r="H190" s="1380" t="n"/>
      <c r="I190" s="1380" t="n"/>
      <c r="J190" s="1380" t="n"/>
      <c r="K190" s="1380" t="n"/>
      <c r="L190" s="1380" t="n"/>
      <c r="M190" s="1380" t="n"/>
      <c r="N190" s="1380" t="n"/>
      <c r="O190" s="1380" t="n"/>
      <c r="P190" s="385" t="n"/>
      <c r="Q190" s="241">
        <f>SUM(E190:P190)</f>
        <v/>
      </c>
      <c r="R190" s="2504" t="n"/>
      <c r="S190" s="2505" t="n"/>
      <c r="T190" s="2505" t="n"/>
      <c r="U190" s="2362" t="n"/>
      <c r="V190" s="2538" t="n"/>
      <c r="W190" s="2538" t="n"/>
      <c r="X190" s="2377" t="n"/>
    </row>
    <row customFormat="1" outlineLevel="1" r="191" s="2362" spans="1:33">
      <c r="A191" s="2632" t="n"/>
      <c r="B191" s="2588" t="n"/>
      <c r="C191" s="287" t="n"/>
      <c r="D191" s="2382" t="s">
        <v>255</v>
      </c>
      <c r="E191" s="1102" t="n">
        <v>0.04</v>
      </c>
      <c r="F191" s="9" t="n"/>
      <c r="G191" s="1380" t="n"/>
      <c r="H191" s="1101" t="n">
        <v>0.02</v>
      </c>
      <c r="I191" s="1380" t="n">
        <v>250</v>
      </c>
      <c r="J191" s="1380" t="n">
        <v>250</v>
      </c>
      <c r="K191" s="1380" t="n">
        <v>250</v>
      </c>
      <c r="L191" s="1380" t="n">
        <v>250</v>
      </c>
      <c r="M191" s="1380" t="n">
        <v>250</v>
      </c>
      <c r="N191" s="1380" t="n">
        <v>250</v>
      </c>
      <c r="O191" s="1380" t="n">
        <v>250</v>
      </c>
      <c r="P191" s="1380" t="n">
        <v>250</v>
      </c>
      <c r="Q191" s="241">
        <f>SUM(E191:P191)</f>
        <v/>
      </c>
      <c r="R191" s="2504" t="n"/>
      <c r="S191" s="2505" t="n"/>
      <c r="T191" s="2505" t="n"/>
      <c r="U191" s="2362" t="n"/>
      <c r="V191" s="2538" t="n"/>
      <c r="W191" s="2538" t="n"/>
      <c r="X191" s="2377" t="n"/>
    </row>
    <row customFormat="1" outlineLevel="1" r="192" s="2362" spans="1:33">
      <c r="A192" s="2632" t="n"/>
      <c r="B192" s="2588" t="n"/>
      <c r="C192" s="395" t="n"/>
      <c r="D192" s="2554" t="s">
        <v>256</v>
      </c>
      <c r="E192" s="386">
        <f>E446-E435</f>
        <v/>
      </c>
      <c r="F192" s="386">
        <f>F446-F435</f>
        <v/>
      </c>
      <c r="G192" s="386">
        <f>G446-G435</f>
        <v/>
      </c>
      <c r="H192" s="386">
        <f>H446-H435</f>
        <v/>
      </c>
      <c r="I192" s="386">
        <f>I446-I435</f>
        <v/>
      </c>
      <c r="J192" s="386">
        <f>J446-J435</f>
        <v/>
      </c>
      <c r="K192" s="386">
        <f>K446-K435</f>
        <v/>
      </c>
      <c r="L192" s="386">
        <f>L446-L435</f>
        <v/>
      </c>
      <c r="M192" s="386">
        <f>M446-M435</f>
        <v/>
      </c>
      <c r="N192" s="386">
        <f>N446-N435</f>
        <v/>
      </c>
      <c r="O192" s="386">
        <f>O446-O435</f>
        <v/>
      </c>
      <c r="P192" s="386">
        <f>P446-P435</f>
        <v/>
      </c>
      <c r="Q192" s="232">
        <f>SUM(E192:P192)</f>
        <v/>
      </c>
      <c r="R192" s="2504" t="n"/>
      <c r="S192" s="2505" t="n"/>
      <c r="T192" s="2505" t="n"/>
      <c r="U192" s="2362" t="n"/>
      <c r="V192" s="2538" t="n"/>
      <c r="W192" s="2538" t="n"/>
      <c r="X192" s="2377" t="n"/>
    </row>
    <row customFormat="1" outlineLevel="1" r="193" s="2362" spans="1:33">
      <c r="A193" s="2632" t="n"/>
      <c r="B193" s="2588" t="n"/>
      <c r="C193" s="287" t="n"/>
      <c r="D193" s="2556" t="s">
        <v>257</v>
      </c>
      <c r="E193" s="234" t="n"/>
      <c r="F193" s="233" t="n"/>
      <c r="G193" s="233" t="n"/>
      <c r="H193" s="233" t="n"/>
      <c r="I193" s="233" t="n"/>
      <c r="J193" s="233" t="n"/>
      <c r="K193" s="233" t="n"/>
      <c r="L193" s="233" t="n"/>
      <c r="M193" s="233" t="n"/>
      <c r="N193" s="233" t="n"/>
      <c r="O193" s="233" t="n"/>
      <c r="P193" s="380" t="n"/>
      <c r="Q193" s="232">
        <f>SUM(E193:P193)</f>
        <v/>
      </c>
      <c r="R193" s="2504" t="n"/>
      <c r="S193" s="2505" t="n"/>
      <c r="T193" s="2505" t="n"/>
      <c r="U193" s="2362" t="n"/>
      <c r="V193" s="2362" t="n"/>
      <c r="W193" s="2362" t="n"/>
    </row>
    <row customFormat="1" outlineLevel="1" r="194" s="2362" spans="1:33">
      <c r="A194" s="2632" t="n"/>
      <c r="B194" s="2588" t="n"/>
      <c r="C194" s="287" t="n"/>
      <c r="D194" s="2556" t="s">
        <v>258</v>
      </c>
      <c r="E194" s="234" t="n"/>
      <c r="F194" s="233" t="n"/>
      <c r="G194" s="233" t="n"/>
      <c r="H194" s="233" t="n"/>
      <c r="I194" s="233" t="n"/>
      <c r="J194" s="233" t="n"/>
      <c r="K194" s="233" t="n"/>
      <c r="L194" s="233" t="n"/>
      <c r="M194" s="233" t="n"/>
      <c r="N194" s="233" t="n"/>
      <c r="O194" s="233" t="n"/>
      <c r="P194" s="380" t="n"/>
      <c r="Q194" s="232">
        <f>SUM(E194:P194)</f>
        <v/>
      </c>
      <c r="R194" s="2504" t="n"/>
      <c r="S194" s="2505" t="n"/>
      <c r="T194" s="2505" t="n"/>
      <c r="U194" s="2362" t="n"/>
      <c r="V194" s="2362" t="n"/>
      <c r="W194" s="2362" t="n"/>
    </row>
    <row customFormat="1" outlineLevel="1" r="195" s="2362" spans="1:33">
      <c r="A195" s="2632" t="n"/>
      <c r="B195" s="2588" t="n"/>
      <c r="C195" s="285" t="s">
        <v>214</v>
      </c>
      <c r="D195" s="2595" t="n"/>
      <c r="E195" s="283">
        <f>SUM(E182:E194)</f>
        <v/>
      </c>
      <c r="F195" s="282">
        <f>SUM(F182:F194)</f>
        <v/>
      </c>
      <c r="G195" s="282">
        <f>SUM(G182:G194)</f>
        <v/>
      </c>
      <c r="H195" s="282">
        <f>SUM(H182:H194)</f>
        <v/>
      </c>
      <c r="I195" s="282">
        <f>SUM(I182:I194)</f>
        <v/>
      </c>
      <c r="J195" s="282">
        <f>SUM(J182:J194)</f>
        <v/>
      </c>
      <c r="K195" s="282">
        <f>SUM(K182:K194)</f>
        <v/>
      </c>
      <c r="L195" s="282">
        <f>SUM(L182:L194)</f>
        <v/>
      </c>
      <c r="M195" s="282">
        <f>SUM(M182:M194)</f>
        <v/>
      </c>
      <c r="N195" s="282">
        <f>SUM(N182:N194)</f>
        <v/>
      </c>
      <c r="O195" s="282">
        <f>SUM(O182:O194)</f>
        <v/>
      </c>
      <c r="P195" s="393">
        <f>SUM(P182:P194)</f>
        <v/>
      </c>
      <c r="Q195" s="281">
        <f>SUM(E195:P195)</f>
        <v/>
      </c>
      <c r="R195" s="2504" t="n"/>
      <c r="S195" s="2505" t="n"/>
      <c r="T195" s="2505" t="n"/>
      <c r="U195" s="2362" t="n"/>
      <c r="V195" s="2362" t="n"/>
      <c r="W195" s="2362" t="n"/>
    </row>
    <row customFormat="1" outlineLevel="1" r="196" s="2362" spans="1:33">
      <c r="A196" s="2632" t="n"/>
      <c r="B196" s="2588" t="n"/>
      <c r="C196" s="1696" t="n"/>
      <c r="D196" s="2558" t="s">
        <v>232</v>
      </c>
      <c r="E196" s="396">
        <f>E376</f>
        <v/>
      </c>
      <c r="F196" s="396">
        <f>F376</f>
        <v/>
      </c>
      <c r="G196" s="396">
        <f>G376</f>
        <v/>
      </c>
      <c r="H196" s="396">
        <f>H376</f>
        <v/>
      </c>
      <c r="I196" s="396">
        <f>I376</f>
        <v/>
      </c>
      <c r="J196" s="396">
        <f>J376</f>
        <v/>
      </c>
      <c r="K196" s="396">
        <f>K376</f>
        <v/>
      </c>
      <c r="L196" s="396">
        <f>L376</f>
        <v/>
      </c>
      <c r="M196" s="396">
        <f>M376</f>
        <v/>
      </c>
      <c r="N196" s="396">
        <f>N376</f>
        <v/>
      </c>
      <c r="O196" s="396">
        <f>O376</f>
        <v/>
      </c>
      <c r="P196" s="396">
        <f>P376</f>
        <v/>
      </c>
      <c r="Q196" s="241">
        <f>SUM(E196:P196)</f>
        <v/>
      </c>
      <c r="R196" s="2504" t="n"/>
      <c r="S196" s="2505" t="n"/>
      <c r="T196" s="2505" t="n"/>
      <c r="U196" s="2362" t="n"/>
      <c r="V196" s="2362" t="n"/>
      <c r="W196" s="2362" t="n"/>
    </row>
    <row customFormat="1" outlineLevel="1" r="197" s="2362" spans="1:33">
      <c r="A197" s="2632" t="n"/>
      <c r="B197" s="2588" t="n"/>
      <c r="C197" s="287" t="n"/>
      <c r="D197" s="2560" t="s">
        <v>161</v>
      </c>
      <c r="E197" s="427">
        <f>E424+E435</f>
        <v/>
      </c>
      <c r="F197" s="427">
        <f>F424+F435</f>
        <v/>
      </c>
      <c r="G197" s="427">
        <f>G424+G435</f>
        <v/>
      </c>
      <c r="H197" s="427">
        <f>H424+H435</f>
        <v/>
      </c>
      <c r="I197" s="427">
        <f>I424+I435</f>
        <v/>
      </c>
      <c r="J197" s="427">
        <f>J424+J435</f>
        <v/>
      </c>
      <c r="K197" s="427">
        <f>K424+K435</f>
        <v/>
      </c>
      <c r="L197" s="427">
        <f>L424+L435</f>
        <v/>
      </c>
      <c r="M197" s="427">
        <f>M424+M435</f>
        <v/>
      </c>
      <c r="N197" s="427">
        <f>N424+N435</f>
        <v/>
      </c>
      <c r="O197" s="427">
        <f>O424+O435</f>
        <v/>
      </c>
      <c r="P197" s="427">
        <f>P424+P435</f>
        <v/>
      </c>
      <c r="Q197" s="241">
        <f>SUM(E197:P197)</f>
        <v/>
      </c>
      <c r="R197" s="2504" t="n"/>
      <c r="S197" s="2505" t="n"/>
      <c r="T197" s="2505" t="n"/>
      <c r="U197" s="2362" t="n"/>
      <c r="V197" s="2362" t="n"/>
      <c r="W197" s="2362" t="n"/>
    </row>
    <row customFormat="1" outlineLevel="1" r="198" s="2362" spans="1:33">
      <c r="A198" s="2632" t="n"/>
      <c r="B198" s="2588" t="n"/>
      <c r="C198" s="287" t="n"/>
      <c r="D198" s="2561" t="s">
        <v>215</v>
      </c>
      <c r="E198" s="387">
        <f>E407*E204/E339</f>
        <v/>
      </c>
      <c r="F198" s="387">
        <f>F407*F204/F339</f>
        <v/>
      </c>
      <c r="G198" s="387">
        <f>G407*G204/G339</f>
        <v/>
      </c>
      <c r="H198" s="387">
        <f>H407*H204/H339</f>
        <v/>
      </c>
      <c r="I198" s="387">
        <f>I407*I204/I339</f>
        <v/>
      </c>
      <c r="J198" s="387">
        <f>J407*J204/J339</f>
        <v/>
      </c>
      <c r="K198" s="387">
        <f>K407*K204/K339</f>
        <v/>
      </c>
      <c r="L198" s="387">
        <f>L407*L204/L339</f>
        <v/>
      </c>
      <c r="M198" s="387">
        <f>M407*M204/M339</f>
        <v/>
      </c>
      <c r="N198" s="387">
        <f>N407*N204/N339</f>
        <v/>
      </c>
      <c r="O198" s="387">
        <f>O407*O204/O339</f>
        <v/>
      </c>
      <c r="P198" s="387">
        <f>P407*P204/P339</f>
        <v/>
      </c>
      <c r="Q198" s="232">
        <f>SUM(E198:P198)</f>
        <v/>
      </c>
      <c r="R198" s="2504" t="n"/>
      <c r="S198" s="2505" t="n"/>
      <c r="T198" s="2505" t="n"/>
      <c r="U198" s="2362" t="n"/>
      <c r="V198" s="2362" t="n"/>
      <c r="W198" s="2362" t="n"/>
    </row>
    <row customFormat="1" outlineLevel="1" r="199" s="2362" spans="1:33">
      <c r="A199" s="2632" t="n"/>
      <c r="B199" s="2588" t="n"/>
      <c r="C199" s="285" t="s">
        <v>217</v>
      </c>
      <c r="D199" s="2595" t="n"/>
      <c r="E199" s="283">
        <f>SUM(E196:E198)</f>
        <v/>
      </c>
      <c r="F199" s="282">
        <f>SUM(F196:F198)</f>
        <v/>
      </c>
      <c r="G199" s="282">
        <f>SUM(G196:G198)</f>
        <v/>
      </c>
      <c r="H199" s="282">
        <f>SUM(H196:H198)</f>
        <v/>
      </c>
      <c r="I199" s="282">
        <f>SUM(I196:I198)</f>
        <v/>
      </c>
      <c r="J199" s="282">
        <f>SUM(J196:J198)</f>
        <v/>
      </c>
      <c r="K199" s="282">
        <f>SUM(K196:K198)</f>
        <v/>
      </c>
      <c r="L199" s="282">
        <f>SUM(L196:L198)</f>
        <v/>
      </c>
      <c r="M199" s="282">
        <f>SUM(M196:M198)</f>
        <v/>
      </c>
      <c r="N199" s="282">
        <f>SUM(N196:N198)</f>
        <v/>
      </c>
      <c r="O199" s="282">
        <f>SUM(O196:O198)</f>
        <v/>
      </c>
      <c r="P199" s="393">
        <f>SUM(P196:P198)</f>
        <v/>
      </c>
      <c r="Q199" s="281">
        <f>SUM(E199:P199)</f>
        <v/>
      </c>
      <c r="R199" s="2504" t="n"/>
      <c r="S199" s="2505" t="n"/>
      <c r="T199" s="2505" t="n"/>
      <c r="U199" s="2362" t="n"/>
      <c r="V199" s="2362" t="n"/>
      <c r="W199" s="2362" t="n"/>
    </row>
    <row customFormat="1" outlineLevel="1" r="200" s="2362" spans="1:33">
      <c r="A200" s="2632" t="n"/>
      <c r="B200" s="2608" t="s">
        <v>259</v>
      </c>
      <c r="C200" s="405" t="n"/>
      <c r="D200" s="2609" t="n"/>
      <c r="E200" s="277">
        <f>SUM(E199,E195,E181)</f>
        <v/>
      </c>
      <c r="F200" s="276">
        <f>SUM(F199,F195,F181)</f>
        <v/>
      </c>
      <c r="G200" s="276">
        <f>SUM(G199,G195,G181)</f>
        <v/>
      </c>
      <c r="H200" s="276">
        <f>SUM(H199,H195,H181)</f>
        <v/>
      </c>
      <c r="I200" s="276">
        <f>SUM(I199,I195,I181)</f>
        <v/>
      </c>
      <c r="J200" s="276">
        <f>SUM(J199,J195,J181)</f>
        <v/>
      </c>
      <c r="K200" s="276">
        <f>SUM(K199,K195,K181)</f>
        <v/>
      </c>
      <c r="L200" s="276">
        <f>SUM(L199,L195,L181)</f>
        <v/>
      </c>
      <c r="M200" s="276">
        <f>SUM(M199,M195,M181)</f>
        <v/>
      </c>
      <c r="N200" s="276">
        <f>SUM(N199,N195,N181)</f>
        <v/>
      </c>
      <c r="O200" s="276">
        <f>SUM(O199,O195,O181)</f>
        <v/>
      </c>
      <c r="P200" s="1630">
        <f>SUM(P199,P195,P181)</f>
        <v/>
      </c>
      <c r="Q200" s="1699">
        <f>SUM(E200:P200)</f>
        <v/>
      </c>
      <c r="R200" s="2504" t="n"/>
      <c r="S200" s="2505" t="n"/>
      <c r="T200" s="2505" t="n"/>
      <c r="U200" s="2362" t="n"/>
      <c r="V200" s="2362" t="n"/>
      <c r="W200" s="2362" t="n"/>
    </row>
    <row customFormat="1" r="201" s="2362" spans="1:33">
      <c r="A201" s="2632" t="n"/>
      <c r="B201" s="1632" t="s">
        <v>260</v>
      </c>
      <c r="C201" s="2612" t="n"/>
      <c r="D201" s="1634" t="n"/>
      <c r="E201" s="1635">
        <f>E178-E200</f>
        <v/>
      </c>
      <c r="F201" s="1635">
        <f>F178-F200</f>
        <v/>
      </c>
      <c r="G201" s="1635">
        <f>G178-G200</f>
        <v/>
      </c>
      <c r="H201" s="1635">
        <f>H178-H200</f>
        <v/>
      </c>
      <c r="I201" s="1635">
        <f>I178-I200</f>
        <v/>
      </c>
      <c r="J201" s="1635">
        <f>J178-J200</f>
        <v/>
      </c>
      <c r="K201" s="1635">
        <f>K178-K200</f>
        <v/>
      </c>
      <c r="L201" s="1635">
        <f>L178-L200</f>
        <v/>
      </c>
      <c r="M201" s="1635">
        <f>M178-M200</f>
        <v/>
      </c>
      <c r="N201" s="1635">
        <f>N178-N200</f>
        <v/>
      </c>
      <c r="O201" s="1636">
        <f>O178-O200</f>
        <v/>
      </c>
      <c r="P201" s="1637">
        <f>P178-P200</f>
        <v/>
      </c>
      <c r="Q201" s="1637">
        <f>SUM(E201:P201)</f>
        <v/>
      </c>
      <c r="R201" s="301" t="n"/>
      <c r="S201" s="2505" t="n"/>
      <c r="T201" s="2505" t="n"/>
      <c r="U201" s="2362" t="n"/>
      <c r="V201" s="2362" t="n"/>
      <c r="W201" s="2362" t="n"/>
    </row>
    <row customFormat="1" r="202" s="2362" spans="1:33">
      <c r="A202" s="2632" t="n"/>
      <c r="B202" s="2613" t="s">
        <v>261</v>
      </c>
      <c r="E202" s="1622" t="n"/>
      <c r="F202" s="1623" t="n"/>
      <c r="G202" s="1623" t="n"/>
      <c r="H202" s="1623" t="n"/>
      <c r="I202" s="1623" t="n"/>
      <c r="J202" s="1623" t="n"/>
      <c r="K202" s="1623" t="n"/>
      <c r="L202" s="1623" t="n"/>
      <c r="M202" s="1623" t="n"/>
      <c r="N202" s="1623" t="n"/>
      <c r="O202" s="1623" t="n"/>
      <c r="P202" s="1624" t="n"/>
      <c r="Q202" s="1637">
        <f>SUM(E202:P202)</f>
        <v/>
      </c>
      <c r="R202" s="2504" t="n"/>
      <c r="S202" s="2505" t="n"/>
      <c r="T202" s="2505" t="n"/>
      <c r="U202" s="2362" t="n"/>
      <c r="V202" s="2362" t="n"/>
      <c r="W202" s="2362" t="n"/>
    </row>
    <row customFormat="1" customHeight="1" ht="15" r="203" s="2362" spans="1:33" thickBot="1">
      <c r="A203" s="2632" t="n"/>
      <c r="B203" s="2615" t="s">
        <v>262</v>
      </c>
      <c r="E203" s="1638">
        <f>E201-E202</f>
        <v/>
      </c>
      <c r="F203" s="1534">
        <f>F201-F202</f>
        <v/>
      </c>
      <c r="G203" s="1534">
        <f>G201-G202</f>
        <v/>
      </c>
      <c r="H203" s="1534">
        <f>H201-H202</f>
        <v/>
      </c>
      <c r="I203" s="1534">
        <f>I201-I202</f>
        <v/>
      </c>
      <c r="J203" s="1534">
        <f>J201-J202</f>
        <v/>
      </c>
      <c r="K203" s="1534">
        <f>K201-K202</f>
        <v/>
      </c>
      <c r="L203" s="1534">
        <f>L201-L202</f>
        <v/>
      </c>
      <c r="M203" s="1534">
        <f>M201-M202</f>
        <v/>
      </c>
      <c r="N203" s="1534">
        <f>N201-N202</f>
        <v/>
      </c>
      <c r="O203" s="1534">
        <f>O201-O202</f>
        <v/>
      </c>
      <c r="P203" s="1535">
        <f>P201-P202</f>
        <v/>
      </c>
      <c r="Q203" s="1639">
        <f>SUM(E203:P203)</f>
        <v/>
      </c>
      <c r="R203" s="224" t="n"/>
      <c r="S203" s="2505" t="n"/>
      <c r="T203" s="2505" t="n"/>
      <c r="U203" s="2362" t="n"/>
      <c r="V203" s="2362" t="n"/>
      <c r="W203" s="2362" t="n"/>
    </row>
    <row customFormat="1" r="204" s="2362" spans="1:33">
      <c r="A204" s="2632" t="n"/>
      <c r="B204" s="2616" t="n"/>
      <c r="C204" s="2617" t="n"/>
      <c r="D204" s="2573" t="s">
        <v>203</v>
      </c>
      <c r="E204" s="8" t="n">
        <v>2</v>
      </c>
      <c r="F204" s="8" t="n">
        <v>2</v>
      </c>
      <c r="G204" s="8" t="n">
        <v>2</v>
      </c>
      <c r="H204" s="8" t="n">
        <v>2</v>
      </c>
      <c r="I204" s="8" t="n">
        <v>2</v>
      </c>
      <c r="J204" s="8" t="n">
        <v>2</v>
      </c>
      <c r="K204" s="8" t="n">
        <v>2</v>
      </c>
      <c r="L204" s="8" t="n">
        <v>2</v>
      </c>
      <c r="M204" s="8" t="n">
        <v>2</v>
      </c>
      <c r="N204" s="8" t="n">
        <v>2</v>
      </c>
      <c r="O204" s="8" t="n">
        <v>2</v>
      </c>
      <c r="P204" s="8" t="n">
        <v>2</v>
      </c>
      <c r="Q204" s="241">
        <f>SUM(E204:P204)</f>
        <v/>
      </c>
      <c r="R204" s="224" t="n"/>
      <c r="S204" s="2505" t="n"/>
      <c r="T204" s="2505" t="n"/>
      <c r="U204" s="2362" t="n"/>
      <c r="V204" s="2362" t="n"/>
      <c r="W204" s="2362" t="n"/>
    </row>
    <row customFormat="1" r="205" s="2362" spans="1:33">
      <c r="A205" s="2632" t="n"/>
      <c r="B205" s="2616" t="n"/>
      <c r="C205" s="2617" t="n"/>
      <c r="D205" s="2573" t="s">
        <v>201</v>
      </c>
      <c r="E205" s="8">
        <f>E$303*E345/E$356</f>
        <v/>
      </c>
      <c r="F205" s="8">
        <f>F$303*F345/F$356</f>
        <v/>
      </c>
      <c r="G205" s="8">
        <f>G$303*G345/G$356</f>
        <v/>
      </c>
      <c r="H205" s="8">
        <f>H$303*H345/H$356</f>
        <v/>
      </c>
      <c r="I205" s="8">
        <f>I$303*I345/I$356</f>
        <v/>
      </c>
      <c r="J205" s="8">
        <f>J$303*J345/J$356</f>
        <v/>
      </c>
      <c r="K205" s="8">
        <f>K$303*K345/K$356</f>
        <v/>
      </c>
      <c r="L205" s="8">
        <f>L$303*L345/L$356</f>
        <v/>
      </c>
      <c r="M205" s="8">
        <f>M$303*M345/M$356</f>
        <v/>
      </c>
      <c r="N205" s="8">
        <f>N$303*N345/N$356</f>
        <v/>
      </c>
      <c r="O205" s="8">
        <f>O$303*O345/O$356</f>
        <v/>
      </c>
      <c r="P205" s="8">
        <f>P$303*P345/P$356</f>
        <v/>
      </c>
      <c r="Q205" s="241">
        <f>SUM(E205:P205)</f>
        <v/>
      </c>
      <c r="R205" s="224" t="n"/>
      <c r="S205" s="2505" t="n"/>
      <c r="T205" s="2505" t="n"/>
      <c r="U205" s="2362" t="n"/>
      <c r="V205" s="2362" t="n"/>
      <c r="W205" s="2362" t="n"/>
    </row>
    <row customFormat="1" r="206" s="2362" spans="1:33">
      <c r="A206" s="2632" t="n"/>
      <c r="B206" s="2618" t="n"/>
      <c r="C206" s="2619" t="n"/>
      <c r="D206" s="2576" t="s">
        <v>264</v>
      </c>
      <c r="E206" s="233" t="n">
        <v>0</v>
      </c>
      <c r="F206" s="233" t="n">
        <v>0</v>
      </c>
      <c r="G206" s="233" t="n">
        <v>0</v>
      </c>
      <c r="H206" s="233" t="n">
        <v>0</v>
      </c>
      <c r="I206" s="233" t="n">
        <v>0</v>
      </c>
      <c r="J206" s="233" t="n">
        <v>0</v>
      </c>
      <c r="K206" s="233" t="n">
        <v>0</v>
      </c>
      <c r="L206" s="233" t="n">
        <v>0</v>
      </c>
      <c r="M206" s="233" t="n">
        <v>0</v>
      </c>
      <c r="N206" s="233" t="n">
        <v>0</v>
      </c>
      <c r="O206" s="233" t="n">
        <v>0</v>
      </c>
      <c r="P206" s="233" t="n">
        <v>0</v>
      </c>
      <c r="Q206" s="232">
        <f>SUM(E206:P206)</f>
        <v/>
      </c>
      <c r="R206" s="224" t="n"/>
      <c r="S206" s="2505" t="n"/>
      <c r="T206" s="2505" t="n"/>
      <c r="U206" s="2422" t="n"/>
      <c r="V206" s="2422" t="n"/>
      <c r="W206" s="2422" t="n"/>
    </row>
    <row customFormat="1" customHeight="1" ht="15" r="207" s="2362" spans="1:33" thickBot="1">
      <c r="A207" s="2620" t="n"/>
      <c r="B207" s="2621" t="n"/>
      <c r="C207" s="2622" t="n"/>
      <c r="D207" s="2623" t="s">
        <v>79</v>
      </c>
      <c r="E207" s="266">
        <f>E203+E205+E206</f>
        <v/>
      </c>
      <c r="F207" s="265">
        <f>F203+F205+F206</f>
        <v/>
      </c>
      <c r="G207" s="265">
        <f>G203+G205+G206</f>
        <v/>
      </c>
      <c r="H207" s="265">
        <f>H203+H205+H206</f>
        <v/>
      </c>
      <c r="I207" s="265">
        <f>I203+I205+I206</f>
        <v/>
      </c>
      <c r="J207" s="265">
        <f>J203+J205+J206</f>
        <v/>
      </c>
      <c r="K207" s="265">
        <f>K203+K205+K206</f>
        <v/>
      </c>
      <c r="L207" s="265">
        <f>L203+L205+L206</f>
        <v/>
      </c>
      <c r="M207" s="265">
        <f>M203+M205+M206</f>
        <v/>
      </c>
      <c r="N207" s="265">
        <f>N203+N205+N206</f>
        <v/>
      </c>
      <c r="O207" s="265">
        <f>O203+O205+O206</f>
        <v/>
      </c>
      <c r="P207" s="398">
        <f>P203+P205+P206</f>
        <v/>
      </c>
      <c r="Q207" s="264">
        <f>Q203+Q205+Q206</f>
        <v/>
      </c>
      <c r="R207" s="224" t="n"/>
      <c r="S207" s="2505" t="n"/>
      <c r="T207" s="2505" t="n"/>
      <c r="U207" s="2362" t="n"/>
      <c r="V207" s="2362" t="n"/>
      <c r="W207" s="2362" t="n"/>
    </row>
    <row customFormat="1" customHeight="1" ht="16.5" outlineLevel="1" r="208" s="2362" spans="1:33" thickTop="1">
      <c r="A208" s="2587" t="s">
        <v>269</v>
      </c>
      <c r="B208" s="2588" t="n"/>
      <c r="C208" s="287" t="s">
        <v>243</v>
      </c>
      <c r="D208" s="2589" t="n"/>
      <c r="E208" s="298" t="n"/>
      <c r="F208" s="297" t="n"/>
      <c r="G208" s="297" t="n"/>
      <c r="H208" s="297" t="n"/>
      <c r="I208" s="297" t="n"/>
      <c r="J208" s="297" t="n"/>
      <c r="K208" s="297" t="n"/>
      <c r="L208" s="297" t="n"/>
      <c r="M208" s="388" t="n"/>
      <c r="N208" s="388" t="n"/>
      <c r="O208" s="388" t="n"/>
      <c r="P208" s="389" t="n"/>
      <c r="Q208" s="288">
        <f>SUM(E208:P208)</f>
        <v/>
      </c>
      <c r="R208" s="2504" t="n"/>
      <c r="S208" s="2505" t="n"/>
      <c r="T208" s="2505" t="n"/>
      <c r="U208" s="2362" t="n"/>
      <c r="V208" s="2362" t="n"/>
      <c r="W208" s="2362" t="n"/>
    </row>
    <row customFormat="1" customHeight="1" ht="18" outlineLevel="1" r="209" s="2422" spans="1:33">
      <c r="A209" s="2590" t="s">
        <v>270</v>
      </c>
      <c r="B209" s="2591" t="n"/>
      <c r="C209" s="296" t="s">
        <v>245</v>
      </c>
      <c r="D209" s="2624" t="n"/>
      <c r="E209" s="294" t="n">
        <v>1053243</v>
      </c>
      <c r="F209" s="294" t="n">
        <v>1062045.03</v>
      </c>
      <c r="G209" s="294" t="n">
        <v>1081827.33</v>
      </c>
      <c r="H209" s="294" t="n">
        <v>1077156.96</v>
      </c>
      <c r="I209" s="294">
        <f>'[5]FY18 SET'!K99</f>
        <v/>
      </c>
      <c r="J209" s="294">
        <f>'[5]FY18 SET'!L99</f>
        <v/>
      </c>
      <c r="K209" s="293">
        <f>'[5]FY18 SET'!N99</f>
        <v/>
      </c>
      <c r="L209" s="293">
        <f>'[5]FY18 SET'!O99</f>
        <v/>
      </c>
      <c r="M209" s="293">
        <f>'[5]FY18 SET'!P99</f>
        <v/>
      </c>
      <c r="N209" s="293">
        <f>'[5]FY18 SET'!Q99</f>
        <v/>
      </c>
      <c r="O209" s="293">
        <f>'[5]FY18 SET'!R99</f>
        <v/>
      </c>
      <c r="P209" s="293">
        <f>'[5]FY18 SET'!S99</f>
        <v/>
      </c>
      <c r="Q209" s="292">
        <f>SUM(E209:P209)</f>
        <v/>
      </c>
      <c r="R209" s="2527">
        <f>'[5]FY18 SET'!U96</f>
        <v/>
      </c>
      <c r="S209" s="2527">
        <f>Q209-R209</f>
        <v/>
      </c>
      <c r="T209" s="2505" t="n"/>
      <c r="U209" s="2362" t="n"/>
      <c r="V209" s="2362" t="n"/>
      <c r="W209" s="2362" t="n"/>
      <c r="X209" s="2422" t="n"/>
      <c r="Y209" s="2422" t="n"/>
      <c r="Z209" s="2422" t="n"/>
      <c r="AA209" s="2422" t="n"/>
    </row>
    <row customHeight="1" ht="15.75" outlineLevel="1" r="210" s="1843" spans="1:33">
      <c r="A210" s="2587" t="n"/>
      <c r="B210" s="2594" t="s">
        <v>246</v>
      </c>
      <c r="C210" s="289" t="n"/>
      <c r="D210" s="2595" t="n"/>
      <c r="E210" s="1622">
        <f>SUM(E209)</f>
        <v/>
      </c>
      <c r="F210" s="1623">
        <f>SUM(F209)</f>
        <v/>
      </c>
      <c r="G210" s="1623">
        <f>SUM(G209)</f>
        <v/>
      </c>
      <c r="H210" s="1623">
        <f>SUM(H209)</f>
        <v/>
      </c>
      <c r="I210" s="1623">
        <f>SUM(I209)</f>
        <v/>
      </c>
      <c r="J210" s="1623">
        <f>SUM(J209)</f>
        <v/>
      </c>
      <c r="K210" s="1623">
        <f>SUM(K209)</f>
        <v/>
      </c>
      <c r="L210" s="1623">
        <f>SUM(L209)</f>
        <v/>
      </c>
      <c r="M210" s="1623">
        <f>SUM(M209)</f>
        <v/>
      </c>
      <c r="N210" s="1623">
        <f>SUM(N209)</f>
        <v/>
      </c>
      <c r="O210" s="1623">
        <f>SUM(O209)</f>
        <v/>
      </c>
      <c r="P210" s="1624">
        <f>SUM(P209)</f>
        <v/>
      </c>
      <c r="Q210" s="1625">
        <f>SUM(E210:P210)</f>
        <v/>
      </c>
    </row>
    <row outlineLevel="1" r="211" s="1843" spans="1:33">
      <c r="A211" s="2632" t="n"/>
      <c r="B211" s="2597" t="s">
        <v>247</v>
      </c>
      <c r="C211" s="1627" t="n"/>
      <c r="D211" s="2598" t="n"/>
      <c r="E211" s="1622" t="n"/>
      <c r="F211" s="1623" t="n"/>
      <c r="G211" s="1623" t="n"/>
      <c r="H211" s="1623" t="n"/>
      <c r="I211" s="1623" t="n"/>
      <c r="J211" s="1623" t="n"/>
      <c r="K211" s="1623" t="n"/>
      <c r="L211" s="1623" t="n"/>
      <c r="M211" s="1623" t="n"/>
      <c r="N211" s="1623" t="n"/>
      <c r="O211" s="1623" t="n"/>
      <c r="P211" s="1624" t="n"/>
      <c r="Q211" s="1625">
        <f>SUM(E211:P211)</f>
        <v/>
      </c>
    </row>
    <row outlineLevel="1" r="212" s="1843" spans="1:33">
      <c r="A212" s="2632" t="n"/>
      <c r="B212" s="2597" t="s">
        <v>248</v>
      </c>
      <c r="C212" s="1627" t="n"/>
      <c r="D212" s="2598" t="n"/>
      <c r="E212" s="277">
        <f>E210-E211</f>
        <v/>
      </c>
      <c r="F212" s="276">
        <f>F210-F211</f>
        <v/>
      </c>
      <c r="G212" s="276">
        <f>G210-G211</f>
        <v/>
      </c>
      <c r="H212" s="276">
        <f>H210-H211</f>
        <v/>
      </c>
      <c r="I212" s="276">
        <f>I210-I211</f>
        <v/>
      </c>
      <c r="J212" s="276">
        <f>J210-J211</f>
        <v/>
      </c>
      <c r="K212" s="276">
        <f>K210-K211</f>
        <v/>
      </c>
      <c r="L212" s="276">
        <f>L210-L211</f>
        <v/>
      </c>
      <c r="M212" s="276">
        <f>M210-M211</f>
        <v/>
      </c>
      <c r="N212" s="276">
        <f>N210-N211</f>
        <v/>
      </c>
      <c r="O212" s="276">
        <f>O210-O211</f>
        <v/>
      </c>
      <c r="P212" s="391">
        <f>P210-P211</f>
        <v/>
      </c>
      <c r="Q212" s="288">
        <f>SUM(E212:P212)</f>
        <v/>
      </c>
    </row>
    <row outlineLevel="1" r="213" s="1843" spans="1:33">
      <c r="A213" s="2632" t="n"/>
      <c r="B213" s="2599" t="n"/>
      <c r="C213" s="1696" t="n"/>
      <c r="D213" s="2600" t="s">
        <v>249</v>
      </c>
      <c r="E213" s="1698" t="n"/>
      <c r="F213" s="1629" t="n"/>
      <c r="G213" s="1629" t="n"/>
      <c r="H213" s="1629" t="n"/>
      <c r="I213" s="1629" t="n"/>
      <c r="J213" s="1629" t="n"/>
      <c r="K213" s="1629" t="n"/>
      <c r="L213" s="1629" t="n"/>
      <c r="M213" s="1629" t="n"/>
      <c r="N213" s="1629" t="n"/>
      <c r="O213" s="1629" t="n"/>
      <c r="P213" s="1630" t="n"/>
      <c r="Q213" s="1699">
        <f>SUM(E213:P213)</f>
        <v/>
      </c>
      <c r="T213" s="2582" t="n"/>
      <c r="U213" s="2601" t="n"/>
    </row>
    <row outlineLevel="1" r="214" s="1843" spans="1:33">
      <c r="A214" s="2632" t="n"/>
      <c r="B214" s="2588" t="n"/>
      <c r="C214" s="287" t="n"/>
      <c r="D214" s="2602" t="s">
        <v>250</v>
      </c>
      <c r="E214" s="283" t="n"/>
      <c r="F214" s="282" t="n"/>
      <c r="G214" s="282" t="n"/>
      <c r="H214" s="282" t="n"/>
      <c r="I214" s="282" t="n"/>
      <c r="J214" s="282" t="n"/>
      <c r="K214" s="282" t="n"/>
      <c r="L214" s="282" t="n"/>
      <c r="M214" s="282" t="n"/>
      <c r="N214" s="282" t="n"/>
      <c r="O214" s="282" t="n"/>
      <c r="P214" s="393" t="n"/>
      <c r="Q214" s="281">
        <f>SUM(E214:P214)</f>
        <v/>
      </c>
    </row>
    <row outlineLevel="1" r="215" s="1843" spans="1:33">
      <c r="A215" s="2632" t="n"/>
      <c r="B215" s="2588" t="n"/>
      <c r="C215" s="285" t="s">
        <v>251</v>
      </c>
      <c r="D215" s="2598" t="n"/>
      <c r="E215" s="1622">
        <f>SUM(E213:E214)</f>
        <v/>
      </c>
      <c r="F215" s="1623">
        <f>SUM(F213:F214)</f>
        <v/>
      </c>
      <c r="G215" s="1623">
        <f>SUM(G213:G214)</f>
        <v/>
      </c>
      <c r="H215" s="1623">
        <f>SUM(H213:H214)</f>
        <v/>
      </c>
      <c r="I215" s="1623">
        <f>SUM(I213:I214)</f>
        <v/>
      </c>
      <c r="J215" s="1623">
        <f>SUM(J213:J214)</f>
        <v/>
      </c>
      <c r="K215" s="1623">
        <f>SUM(K213:K214)</f>
        <v/>
      </c>
      <c r="L215" s="1623">
        <f>SUM(L213:L214)</f>
        <v/>
      </c>
      <c r="M215" s="1623">
        <f>SUM(M213:M214)</f>
        <v/>
      </c>
      <c r="N215" s="1623">
        <f>SUM(N213:N214)</f>
        <v/>
      </c>
      <c r="O215" s="1623">
        <f>SUM(O213:O214)</f>
        <v/>
      </c>
      <c r="P215" s="1624">
        <f>SUM(P213:P214)</f>
        <v/>
      </c>
      <c r="Q215" s="1625">
        <f>SUM(E215:P215)</f>
        <v/>
      </c>
    </row>
    <row customHeight="1" ht="15" outlineLevel="1" r="216" s="1843" spans="1:33">
      <c r="A216" s="2632" t="n"/>
      <c r="B216" s="2604" t="n"/>
      <c r="C216" s="1700" t="n"/>
      <c r="D216" s="2583" t="s">
        <v>187</v>
      </c>
      <c r="E216" s="818" t="n">
        <v>147875.78</v>
      </c>
      <c r="F216" s="818" t="n">
        <v>224069.65</v>
      </c>
      <c r="G216" s="818" t="n">
        <v>87811.15999999997</v>
      </c>
      <c r="H216" s="818" t="n">
        <v>150537.89</v>
      </c>
      <c r="I216" s="818" t="n">
        <v>173636.7346</v>
      </c>
      <c r="J216" s="818" t="n">
        <v>176293.1883</v>
      </c>
      <c r="K216" s="818" t="n">
        <v>173636.7346</v>
      </c>
      <c r="L216" s="818" t="n">
        <v>173636.7346</v>
      </c>
      <c r="M216" s="818" t="n">
        <v>190471.3002</v>
      </c>
      <c r="N216" s="818" t="n">
        <v>173636.7346</v>
      </c>
      <c r="O216" s="818" t="n">
        <v>173636.7346</v>
      </c>
      <c r="P216" s="818" t="n">
        <v>187814.8465</v>
      </c>
      <c r="Q216" s="241">
        <f>SUM(E216:P216)</f>
        <v/>
      </c>
      <c r="R216" s="2527">
        <f>'[6]FY18 CFG'!Q216</f>
        <v/>
      </c>
      <c r="S216" s="2544" t="n"/>
      <c r="V216" s="2538">
        <f>Q216-R216</f>
        <v/>
      </c>
      <c r="W216" s="2538" t="n"/>
      <c r="X216" s="2377" t="n"/>
    </row>
    <row outlineLevel="1" r="217" s="1843" spans="1:33">
      <c r="A217" s="2632" t="n"/>
      <c r="B217" s="2588" t="n"/>
      <c r="C217" s="287" t="n"/>
      <c r="D217" s="2382" t="s">
        <v>189</v>
      </c>
      <c r="E217" s="818" t="n"/>
      <c r="F217" s="818" t="n"/>
      <c r="G217" s="818" t="n"/>
      <c r="H217" s="818" t="n"/>
      <c r="I217" s="818" t="n">
        <v>100</v>
      </c>
      <c r="J217" s="818" t="n">
        <v>100</v>
      </c>
      <c r="K217" s="818" t="n">
        <v>100</v>
      </c>
      <c r="L217" s="818" t="n">
        <v>100</v>
      </c>
      <c r="M217" s="818" t="n">
        <v>100</v>
      </c>
      <c r="N217" s="818" t="n">
        <v>100</v>
      </c>
      <c r="O217" s="818" t="n">
        <v>100</v>
      </c>
      <c r="P217" s="818" t="n">
        <v>100</v>
      </c>
      <c r="Q217" s="241">
        <f>SUM(E217:P217)</f>
        <v/>
      </c>
      <c r="V217" s="2538" t="n"/>
      <c r="W217" s="2538" t="n"/>
      <c r="X217" s="2377" t="n"/>
    </row>
    <row outlineLevel="1" r="218" s="1843" spans="1:33">
      <c r="A218" s="2632" t="n"/>
      <c r="B218" s="2588" t="n"/>
      <c r="C218" s="287" t="n"/>
      <c r="D218" s="2382" t="s">
        <v>252</v>
      </c>
      <c r="E218" s="1536">
        <f>E397+E402</f>
        <v/>
      </c>
      <c r="F218" s="1536">
        <f>F397+F402</f>
        <v/>
      </c>
      <c r="G218" s="1536">
        <f>G397+G402</f>
        <v/>
      </c>
      <c r="H218" s="1536">
        <f>H397+H402</f>
        <v/>
      </c>
      <c r="I218" s="1536">
        <f>I397+I402</f>
        <v/>
      </c>
      <c r="J218" s="1536">
        <f>J397+J402</f>
        <v/>
      </c>
      <c r="K218" s="1536">
        <f>K397+K402</f>
        <v/>
      </c>
      <c r="L218" s="1536">
        <f>L397+L402</f>
        <v/>
      </c>
      <c r="M218" s="1536">
        <f>M397+M402</f>
        <v/>
      </c>
      <c r="N218" s="1536">
        <f>N397+N402</f>
        <v/>
      </c>
      <c r="O218" s="1536">
        <f>O397+O402</f>
        <v/>
      </c>
      <c r="P218" s="1536">
        <f>P397+P402</f>
        <v/>
      </c>
      <c r="Q218" s="241">
        <f>SUM(E218:P218)</f>
        <v/>
      </c>
      <c r="V218" s="2538" t="n"/>
      <c r="W218" s="2538" t="n"/>
      <c r="X218" s="2377" t="n"/>
    </row>
    <row outlineLevel="1" r="219" s="1843" spans="1:33">
      <c r="A219" s="2632" t="n"/>
      <c r="B219" s="2588" t="n"/>
      <c r="C219" s="287" t="n"/>
      <c r="D219" s="2382" t="s">
        <v>158</v>
      </c>
      <c r="E219" s="818" t="n">
        <v>458.04</v>
      </c>
      <c r="F219" s="818" t="n">
        <v>458.05</v>
      </c>
      <c r="G219" s="818" t="n">
        <v>458.04</v>
      </c>
      <c r="H219" s="818" t="n">
        <v>458.03</v>
      </c>
      <c r="I219" s="818" t="n">
        <v>2786.3749</v>
      </c>
      <c r="J219" s="818" t="n">
        <v>2786.3749</v>
      </c>
      <c r="K219" s="818" t="n">
        <v>2739.7249</v>
      </c>
      <c r="L219" s="818" t="n">
        <v>2739.7249</v>
      </c>
      <c r="M219" s="818" t="n">
        <v>2739.7249</v>
      </c>
      <c r="N219" s="818" t="n">
        <v>706.3916</v>
      </c>
      <c r="O219" s="818" t="n">
        <v>706.3916</v>
      </c>
      <c r="P219" s="818" t="n">
        <v>706.3916</v>
      </c>
      <c r="Q219" s="241">
        <f>SUM(E219:P219)</f>
        <v/>
      </c>
      <c r="V219" s="2538" t="n"/>
      <c r="W219" s="2538" t="n"/>
      <c r="X219" s="2377" t="n"/>
    </row>
    <row outlineLevel="1" r="220" s="1843" spans="1:33">
      <c r="A220" s="2632" t="n"/>
      <c r="B220" s="2588" t="n"/>
      <c r="C220" s="287" t="n"/>
      <c r="D220" s="2382" t="s">
        <v>192</v>
      </c>
      <c r="E220" s="818" t="n"/>
      <c r="F220" s="818" t="n"/>
      <c r="G220" s="818" t="n">
        <v>144.92</v>
      </c>
      <c r="H220" s="818" t="n">
        <v>-5.6</v>
      </c>
      <c r="I220" s="818" t="n">
        <v>300</v>
      </c>
      <c r="J220" s="818" t="n">
        <v>300</v>
      </c>
      <c r="K220" s="818" t="n">
        <v>300</v>
      </c>
      <c r="L220" s="818" t="n">
        <v>300</v>
      </c>
      <c r="M220" s="818" t="n">
        <v>300</v>
      </c>
      <c r="N220" s="818" t="n">
        <v>300</v>
      </c>
      <c r="O220" s="818" t="n">
        <v>300</v>
      </c>
      <c r="P220" s="818" t="n">
        <v>300</v>
      </c>
      <c r="Q220" s="241">
        <f>SUM(E220:P220)</f>
        <v/>
      </c>
      <c r="V220" s="2538" t="n"/>
      <c r="W220" s="2538" t="n"/>
      <c r="X220" s="2377" t="n"/>
    </row>
    <row outlineLevel="1" r="221" s="1843" spans="1:33">
      <c r="A221" s="2632" t="n"/>
      <c r="B221" s="2588" t="n">
        <v>12277</v>
      </c>
      <c r="C221" s="287" t="n"/>
      <c r="D221" s="2382" t="s">
        <v>193</v>
      </c>
      <c r="E221" s="818" t="n">
        <v>664945.71</v>
      </c>
      <c r="F221" s="818" t="n">
        <v>685101.85</v>
      </c>
      <c r="G221" s="818" t="n">
        <v>604615.4399999999</v>
      </c>
      <c r="H221" s="1192" t="n">
        <v>669387.3199999999</v>
      </c>
      <c r="I221" s="818" t="n">
        <v>712500</v>
      </c>
      <c r="J221" s="818" t="n">
        <v>934500</v>
      </c>
      <c r="K221" s="818" t="n">
        <v>865500</v>
      </c>
      <c r="L221" s="818" t="n">
        <v>769500</v>
      </c>
      <c r="M221" s="818" t="n">
        <v>565500</v>
      </c>
      <c r="N221" s="818" t="n">
        <v>600000</v>
      </c>
      <c r="O221" s="818" t="n">
        <v>624000</v>
      </c>
      <c r="P221" s="818" t="n">
        <v>613500</v>
      </c>
      <c r="Q221" s="241">
        <f>SUM(E221:P221)</f>
        <v/>
      </c>
      <c r="V221" s="2538" t="n"/>
      <c r="W221" s="2538" t="n"/>
      <c r="X221" s="2377" t="n"/>
    </row>
    <row outlineLevel="1" r="222" s="1843" spans="1:33">
      <c r="A222" s="2632" t="n"/>
      <c r="B222" s="2588" t="n"/>
      <c r="C222" s="287" t="n"/>
      <c r="D222" s="2382" t="s">
        <v>213</v>
      </c>
      <c r="E222" s="818" t="n">
        <v>19758.08</v>
      </c>
      <c r="F222" s="818" t="n">
        <v>17184.88</v>
      </c>
      <c r="G222" s="818" t="n">
        <v>7322.22</v>
      </c>
      <c r="H222" s="1192" t="n">
        <v>22098.69</v>
      </c>
      <c r="I222" s="818" t="n">
        <v>2550</v>
      </c>
      <c r="J222" s="818" t="n">
        <v>2550</v>
      </c>
      <c r="K222" s="818" t="n">
        <v>2550</v>
      </c>
      <c r="L222" s="818" t="n">
        <v>2550</v>
      </c>
      <c r="M222" s="818" t="n">
        <v>2550</v>
      </c>
      <c r="N222" s="818" t="n">
        <v>2550</v>
      </c>
      <c r="O222" s="818" t="n">
        <v>2550</v>
      </c>
      <c r="P222" s="818" t="n">
        <v>2550</v>
      </c>
      <c r="Q222" s="241">
        <f>SUM(E222:P222)</f>
        <v/>
      </c>
      <c r="V222" s="2538" t="n"/>
      <c r="W222" s="2538" t="n"/>
      <c r="X222" s="2377" t="n"/>
    </row>
    <row outlineLevel="1" r="223" s="1843" spans="1:33">
      <c r="A223" s="2632" t="n"/>
      <c r="B223" s="2588" t="n"/>
      <c r="C223" s="287" t="n"/>
      <c r="D223" s="2382" t="s">
        <v>253</v>
      </c>
      <c r="E223" s="817" t="n"/>
      <c r="F223" s="818" t="n"/>
      <c r="G223" s="818" t="n"/>
      <c r="H223" s="818" t="n"/>
      <c r="I223" s="818" t="n"/>
      <c r="J223" s="818" t="n"/>
      <c r="K223" s="818" t="n"/>
      <c r="L223" s="818" t="n"/>
      <c r="M223" s="818" t="n"/>
      <c r="N223" s="818" t="n"/>
      <c r="O223" s="818" t="n"/>
      <c r="P223" s="819" t="n"/>
      <c r="Q223" s="241">
        <f>SUM(E223:P223)</f>
        <v/>
      </c>
      <c r="V223" s="2538" t="n"/>
      <c r="W223" s="2538" t="n"/>
      <c r="X223" s="2377" t="n"/>
    </row>
    <row outlineLevel="1" r="224" s="1843" spans="1:33">
      <c r="A224" s="2632" t="n"/>
      <c r="B224" s="2588" t="n"/>
      <c r="C224" s="287" t="n"/>
      <c r="D224" s="2382" t="s">
        <v>254</v>
      </c>
      <c r="E224" s="817" t="n"/>
      <c r="F224" s="818" t="n"/>
      <c r="G224" s="818" t="n"/>
      <c r="H224" s="818" t="n"/>
      <c r="I224" s="818" t="n"/>
      <c r="J224" s="818" t="n"/>
      <c r="K224" s="818" t="n"/>
      <c r="L224" s="818" t="n"/>
      <c r="M224" s="818" t="n"/>
      <c r="N224" s="818" t="n"/>
      <c r="O224" s="818" t="n"/>
      <c r="P224" s="819" t="n"/>
      <c r="Q224" s="241">
        <f>SUM(E224:P224)</f>
        <v/>
      </c>
      <c r="V224" s="2538" t="n"/>
      <c r="W224" s="2538" t="n"/>
      <c r="X224" s="2377" t="n"/>
    </row>
    <row customFormat="1" outlineLevel="1" r="225" s="2362" spans="1:33">
      <c r="A225" s="2632" t="n"/>
      <c r="B225" s="2588" t="n"/>
      <c r="C225" s="287" t="n"/>
      <c r="D225" s="2382" t="s">
        <v>255</v>
      </c>
      <c r="E225" s="1084" t="n">
        <v>3.27</v>
      </c>
      <c r="F225" s="815" t="n">
        <v>3.2</v>
      </c>
      <c r="G225" s="818" t="n">
        <v>4.6</v>
      </c>
      <c r="H225" s="820" t="n">
        <v>4.34</v>
      </c>
      <c r="I225" s="818" t="n">
        <v>100</v>
      </c>
      <c r="J225" s="818" t="n">
        <v>100</v>
      </c>
      <c r="K225" s="818" t="n">
        <v>100</v>
      </c>
      <c r="L225" s="818" t="n">
        <v>100</v>
      </c>
      <c r="M225" s="818" t="n">
        <v>100</v>
      </c>
      <c r="N225" s="818" t="n">
        <v>100</v>
      </c>
      <c r="O225" s="818" t="n">
        <v>100</v>
      </c>
      <c r="P225" s="819" t="n">
        <v>100</v>
      </c>
      <c r="Q225" s="241">
        <f>SUM(E225:P225)</f>
        <v/>
      </c>
      <c r="R225" s="2504" t="n"/>
      <c r="S225" s="2505" t="n"/>
      <c r="T225" s="2505" t="n"/>
      <c r="U225" s="2362" t="n"/>
      <c r="V225" s="2538" t="n"/>
      <c r="W225" s="2538" t="n"/>
      <c r="X225" s="2377" t="n"/>
    </row>
    <row customFormat="1" outlineLevel="1" r="226" s="2362" spans="1:33">
      <c r="A226" s="2632" t="n"/>
      <c r="B226" s="2588" t="n"/>
      <c r="C226" s="395" t="n"/>
      <c r="D226" s="2554" t="s">
        <v>256</v>
      </c>
      <c r="E226" s="835">
        <f>E447-E436+E451*E353/E355</f>
        <v/>
      </c>
      <c r="F226" s="835">
        <f>F447-F436+F451*F353/F355</f>
        <v/>
      </c>
      <c r="G226" s="835">
        <f>G447-G436+G451*G353/G355</f>
        <v/>
      </c>
      <c r="H226" s="835">
        <f>H447-H436+H451*H353/H355</f>
        <v/>
      </c>
      <c r="I226" s="835">
        <f>I447-I436+I451*I353/I355</f>
        <v/>
      </c>
      <c r="J226" s="835">
        <f>J447-J436+J451*J353/J355</f>
        <v/>
      </c>
      <c r="K226" s="835">
        <f>K447-K436+K451*K353/K355</f>
        <v/>
      </c>
      <c r="L226" s="835">
        <f>L447-L436+L451*L353/L355</f>
        <v/>
      </c>
      <c r="M226" s="835">
        <f>M447-M436+M451*M353/M355</f>
        <v/>
      </c>
      <c r="N226" s="835">
        <f>N447-N436+N451*N353/N355</f>
        <v/>
      </c>
      <c r="O226" s="835">
        <f>O447-O436+O451*O353/O355</f>
        <v/>
      </c>
      <c r="P226" s="835">
        <f>P447-P436+P451*P353/P355</f>
        <v/>
      </c>
      <c r="Q226" s="232">
        <f>SUM(E226:P226)</f>
        <v/>
      </c>
      <c r="R226" s="2504" t="n"/>
      <c r="S226" s="2505" t="n"/>
      <c r="T226" s="2505" t="n"/>
      <c r="U226" s="2362" t="n"/>
      <c r="V226" s="2538" t="n"/>
      <c r="W226" s="2538" t="n"/>
      <c r="X226" s="2377" t="n"/>
    </row>
    <row customFormat="1" outlineLevel="1" r="227" s="2362" spans="1:33">
      <c r="A227" s="2632" t="n"/>
      <c r="B227" s="2588" t="n"/>
      <c r="C227" s="287" t="n"/>
      <c r="D227" s="2556" t="s">
        <v>257</v>
      </c>
      <c r="E227" s="234" t="n"/>
      <c r="F227" s="233" t="n"/>
      <c r="G227" s="233" t="n"/>
      <c r="H227" s="233" t="n"/>
      <c r="I227" s="233" t="n"/>
      <c r="J227" s="233" t="n"/>
      <c r="K227" s="233" t="n"/>
      <c r="L227" s="233" t="n"/>
      <c r="M227" s="233" t="n"/>
      <c r="N227" s="233" t="n"/>
      <c r="O227" s="233" t="n"/>
      <c r="P227" s="380" t="n"/>
      <c r="Q227" s="232">
        <f>SUM(E227:P227)</f>
        <v/>
      </c>
      <c r="R227" s="2504" t="n"/>
      <c r="S227" s="2505" t="n"/>
      <c r="T227" s="2505" t="n"/>
      <c r="U227" s="2362" t="n"/>
      <c r="V227" s="2362" t="n"/>
      <c r="W227" s="2362" t="n"/>
      <c r="X227" s="2362" t="n"/>
    </row>
    <row customFormat="1" outlineLevel="1" r="228" s="2362" spans="1:33">
      <c r="A228" s="2632" t="n"/>
      <c r="B228" s="2588" t="n"/>
      <c r="C228" s="287" t="n"/>
      <c r="D228" s="2556" t="s">
        <v>258</v>
      </c>
      <c r="E228" s="234" t="n"/>
      <c r="F228" s="233" t="n"/>
      <c r="G228" s="233" t="n"/>
      <c r="H228" s="233" t="n"/>
      <c r="I228" s="233" t="n"/>
      <c r="J228" s="233" t="n"/>
      <c r="K228" s="233" t="n"/>
      <c r="L228" s="233" t="n"/>
      <c r="M228" s="233" t="n"/>
      <c r="N228" s="233" t="n"/>
      <c r="O228" s="233" t="n"/>
      <c r="P228" s="380" t="n"/>
      <c r="Q228" s="232">
        <f>SUM(E228:P228)</f>
        <v/>
      </c>
      <c r="R228" s="2504" t="n"/>
      <c r="S228" s="2505" t="n"/>
      <c r="T228" s="2505" t="n"/>
      <c r="U228" s="2362" t="n"/>
      <c r="V228" s="2362" t="n"/>
      <c r="W228" s="2362" t="n"/>
      <c r="X228" s="2362" t="n"/>
    </row>
    <row customFormat="1" outlineLevel="1" r="229" s="2362" spans="1:33">
      <c r="A229" s="2632" t="n"/>
      <c r="B229" s="2588" t="n"/>
      <c r="C229" s="285" t="s">
        <v>214</v>
      </c>
      <c r="D229" s="2595" t="n"/>
      <c r="E229" s="283">
        <f>SUM(E216:E228)</f>
        <v/>
      </c>
      <c r="F229" s="282">
        <f>SUM(F216:F228)</f>
        <v/>
      </c>
      <c r="G229" s="282">
        <f>SUM(G216:G228)</f>
        <v/>
      </c>
      <c r="H229" s="282">
        <f>SUM(H216:H228)</f>
        <v/>
      </c>
      <c r="I229" s="282">
        <f>SUM(I216:I228)</f>
        <v/>
      </c>
      <c r="J229" s="282">
        <f>SUM(J216:J228)</f>
        <v/>
      </c>
      <c r="K229" s="282">
        <f>SUM(K216:K228)</f>
        <v/>
      </c>
      <c r="L229" s="282">
        <f>SUM(L216:L228)</f>
        <v/>
      </c>
      <c r="M229" s="282">
        <f>SUM(M216:M228)</f>
        <v/>
      </c>
      <c r="N229" s="282">
        <f>SUM(N216:N228)</f>
        <v/>
      </c>
      <c r="O229" s="282">
        <f>SUM(O216:O228)</f>
        <v/>
      </c>
      <c r="P229" s="393">
        <f>SUM(P216:P228)</f>
        <v/>
      </c>
      <c r="Q229" s="281">
        <f>SUM(E229:P229)</f>
        <v/>
      </c>
      <c r="R229" s="2504" t="n"/>
      <c r="S229" s="2505" t="n"/>
      <c r="T229" s="2505" t="n"/>
      <c r="U229" s="2362" t="n"/>
      <c r="V229" s="2362" t="n"/>
      <c r="W229" s="2362" t="n"/>
      <c r="X229" s="2362" t="n"/>
    </row>
    <row customFormat="1" outlineLevel="1" r="230" s="2362" spans="1:33">
      <c r="A230" s="2632" t="n"/>
      <c r="B230" s="2588" t="n"/>
      <c r="C230" s="1696" t="n"/>
      <c r="D230" s="2558" t="s">
        <v>268</v>
      </c>
      <c r="E230" s="396">
        <f>E377+E480</f>
        <v/>
      </c>
      <c r="F230" s="396">
        <f>F377+F480</f>
        <v/>
      </c>
      <c r="G230" s="396">
        <f>G377+G480</f>
        <v/>
      </c>
      <c r="H230" s="396">
        <f>H377+H480</f>
        <v/>
      </c>
      <c r="I230" s="396">
        <f>I377+I480</f>
        <v/>
      </c>
      <c r="J230" s="396">
        <f>J377+J480</f>
        <v/>
      </c>
      <c r="K230" s="396">
        <f>K377+K480</f>
        <v/>
      </c>
      <c r="L230" s="396">
        <f>L377+L480</f>
        <v/>
      </c>
      <c r="M230" s="396">
        <f>M377+M480</f>
        <v/>
      </c>
      <c r="N230" s="396">
        <f>N377+N480</f>
        <v/>
      </c>
      <c r="O230" s="396">
        <f>O377+O480</f>
        <v/>
      </c>
      <c r="P230" s="396">
        <f>P377+P480</f>
        <v/>
      </c>
      <c r="Q230" s="241">
        <f>SUM(E230:P230)</f>
        <v/>
      </c>
      <c r="R230" s="2504" t="n"/>
      <c r="S230" s="2505" t="n"/>
      <c r="T230" s="2505" t="n"/>
      <c r="U230" s="2362" t="n"/>
      <c r="V230" s="2362" t="n"/>
      <c r="W230" s="2362" t="n"/>
      <c r="X230" s="2362" t="n"/>
    </row>
    <row customFormat="1" outlineLevel="1" r="231" s="2362" spans="1:33">
      <c r="A231" s="2632" t="n"/>
      <c r="B231" s="2588" t="n"/>
      <c r="C231" s="287" t="n"/>
      <c r="D231" s="2560" t="s">
        <v>161</v>
      </c>
      <c r="E231" s="427">
        <f>E425+E436</f>
        <v/>
      </c>
      <c r="F231" s="427">
        <f>F425+F436</f>
        <v/>
      </c>
      <c r="G231" s="427">
        <f>G425+G436</f>
        <v/>
      </c>
      <c r="H231" s="427">
        <f>H425+H436</f>
        <v/>
      </c>
      <c r="I231" s="427">
        <f>I425+I436</f>
        <v/>
      </c>
      <c r="J231" s="427">
        <f>J425+J436</f>
        <v/>
      </c>
      <c r="K231" s="427">
        <f>K425+K436</f>
        <v/>
      </c>
      <c r="L231" s="427">
        <f>L425+L436</f>
        <v/>
      </c>
      <c r="M231" s="427">
        <f>M425+M436</f>
        <v/>
      </c>
      <c r="N231" s="427">
        <f>N425+N436</f>
        <v/>
      </c>
      <c r="O231" s="427">
        <f>O425+O436</f>
        <v/>
      </c>
      <c r="P231" s="427">
        <f>P425+P436</f>
        <v/>
      </c>
      <c r="Q231" s="241">
        <f>SUM(E231:P231)</f>
        <v/>
      </c>
      <c r="R231" s="2504" t="n"/>
      <c r="S231" s="2505" t="n"/>
      <c r="T231" s="2505" t="n"/>
      <c r="U231" s="2362" t="n"/>
      <c r="V231" s="2362" t="n"/>
      <c r="W231" s="2362" t="n"/>
      <c r="X231" s="2362" t="n"/>
    </row>
    <row customFormat="1" outlineLevel="1" r="232" s="2362" spans="1:33">
      <c r="A232" s="2632" t="n"/>
      <c r="B232" s="2588" t="n"/>
      <c r="C232" s="287" t="n"/>
      <c r="D232" s="2561" t="s">
        <v>215</v>
      </c>
      <c r="E232" s="387">
        <f>E407*E238/E339</f>
        <v/>
      </c>
      <c r="F232" s="387">
        <f>F407*F238/F339</f>
        <v/>
      </c>
      <c r="G232" s="387">
        <f>G407*G238/G339</f>
        <v/>
      </c>
      <c r="H232" s="387">
        <f>H407*H238/H339</f>
        <v/>
      </c>
      <c r="I232" s="387">
        <f>I407*I238/I339</f>
        <v/>
      </c>
      <c r="J232" s="387">
        <f>J407*J238/J339</f>
        <v/>
      </c>
      <c r="K232" s="387">
        <f>K407*K238/K339</f>
        <v/>
      </c>
      <c r="L232" s="387">
        <f>L407*L238/L339</f>
        <v/>
      </c>
      <c r="M232" s="387">
        <f>M407*M238/M339</f>
        <v/>
      </c>
      <c r="N232" s="387">
        <f>N407*N238/N339</f>
        <v/>
      </c>
      <c r="O232" s="387">
        <f>O407*O238/O339</f>
        <v/>
      </c>
      <c r="P232" s="387">
        <f>P407*P238/P339</f>
        <v/>
      </c>
      <c r="Q232" s="232">
        <f>SUM(E232:P232)</f>
        <v/>
      </c>
      <c r="R232" s="2504" t="n"/>
      <c r="S232" s="2505" t="n"/>
      <c r="T232" s="2505" t="n"/>
      <c r="U232" s="2362" t="n"/>
      <c r="V232" s="2362" t="n"/>
      <c r="W232" s="2362" t="n"/>
      <c r="X232" s="2362" t="n"/>
    </row>
    <row customFormat="1" outlineLevel="1" r="233" s="2362" spans="1:33">
      <c r="A233" s="2632" t="n"/>
      <c r="B233" s="2588" t="n"/>
      <c r="C233" s="285" t="s">
        <v>217</v>
      </c>
      <c r="D233" s="2595" t="n"/>
      <c r="E233" s="283">
        <f>SUM(E230:E232)</f>
        <v/>
      </c>
      <c r="F233" s="282">
        <f>SUM(F230:F232)</f>
        <v/>
      </c>
      <c r="G233" s="282">
        <f>SUM(G230:G232)</f>
        <v/>
      </c>
      <c r="H233" s="282">
        <f>SUM(H230:H232)</f>
        <v/>
      </c>
      <c r="I233" s="282">
        <f>SUM(I230:I232)</f>
        <v/>
      </c>
      <c r="J233" s="282">
        <f>SUM(J230:J232)</f>
        <v/>
      </c>
      <c r="K233" s="282">
        <f>SUM(K230:K232)</f>
        <v/>
      </c>
      <c r="L233" s="282">
        <f>SUM(L230:L232)</f>
        <v/>
      </c>
      <c r="M233" s="282">
        <f>SUM(M230:M232)</f>
        <v/>
      </c>
      <c r="N233" s="282">
        <f>SUM(N230:N232)</f>
        <v/>
      </c>
      <c r="O233" s="282">
        <f>SUM(O230:O232)</f>
        <v/>
      </c>
      <c r="P233" s="393">
        <f>SUM(P230:P232)</f>
        <v/>
      </c>
      <c r="Q233" s="281">
        <f>SUM(E233:P233)</f>
        <v/>
      </c>
      <c r="R233" s="2504" t="n"/>
      <c r="S233" s="2505" t="n"/>
      <c r="T233" s="2505" t="n"/>
      <c r="U233" s="2362" t="n"/>
      <c r="V233" s="2362" t="n"/>
      <c r="W233" s="2362" t="n"/>
      <c r="X233" s="2362" t="n"/>
    </row>
    <row customFormat="1" outlineLevel="1" r="234" s="2362" spans="1:33">
      <c r="A234" s="2632" t="n"/>
      <c r="B234" s="2608" t="s">
        <v>259</v>
      </c>
      <c r="C234" s="405" t="n"/>
      <c r="D234" s="2609" t="n"/>
      <c r="E234" s="277">
        <f>SUM(E233,E229,E215)</f>
        <v/>
      </c>
      <c r="F234" s="276">
        <f>SUM(F233,F229,F215)</f>
        <v/>
      </c>
      <c r="G234" s="276">
        <f>SUM(G233,G229,G215)</f>
        <v/>
      </c>
      <c r="H234" s="276">
        <f>SUM(H233,H229,H215)</f>
        <v/>
      </c>
      <c r="I234" s="276">
        <f>SUM(I233,I229,I215)</f>
        <v/>
      </c>
      <c r="J234" s="276">
        <f>SUM(J233,J229,J215)</f>
        <v/>
      </c>
      <c r="K234" s="276">
        <f>SUM(K233,K229,K215)</f>
        <v/>
      </c>
      <c r="L234" s="276">
        <f>SUM(L233,L229,L215)</f>
        <v/>
      </c>
      <c r="M234" s="276">
        <f>SUM(M233,M229,M215)</f>
        <v/>
      </c>
      <c r="N234" s="276">
        <f>SUM(N233,N229,N215)</f>
        <v/>
      </c>
      <c r="O234" s="276">
        <f>SUM(O233,O229,O215)</f>
        <v/>
      </c>
      <c r="P234" s="1630">
        <f>SUM(P233,P229,P215)</f>
        <v/>
      </c>
      <c r="Q234" s="1699">
        <f>SUM(E234:P234)</f>
        <v/>
      </c>
      <c r="R234" s="2504" t="n"/>
      <c r="S234" s="2505" t="n"/>
      <c r="T234" s="2505" t="n"/>
      <c r="U234" s="2362" t="n"/>
      <c r="V234" s="2362" t="n"/>
      <c r="W234" s="2362" t="n"/>
      <c r="X234" s="2362" t="n"/>
    </row>
    <row customFormat="1" r="235" s="2362" spans="1:33">
      <c r="A235" s="2632" t="n"/>
      <c r="B235" s="1632" t="s">
        <v>260</v>
      </c>
      <c r="C235" s="2612" t="n"/>
      <c r="D235" s="1634" t="n"/>
      <c r="E235" s="1635">
        <f>E212-E234</f>
        <v/>
      </c>
      <c r="F235" s="1635">
        <f>F212-F234</f>
        <v/>
      </c>
      <c r="G235" s="1635">
        <f>G212-G234</f>
        <v/>
      </c>
      <c r="H235" s="1635">
        <f>H212-H234</f>
        <v/>
      </c>
      <c r="I235" s="1635">
        <f>I212-I234</f>
        <v/>
      </c>
      <c r="J235" s="1635">
        <f>J212-J234</f>
        <v/>
      </c>
      <c r="K235" s="1635">
        <f>K212-K234</f>
        <v/>
      </c>
      <c r="L235" s="1635">
        <f>L212-L234</f>
        <v/>
      </c>
      <c r="M235" s="1635">
        <f>M212-M234</f>
        <v/>
      </c>
      <c r="N235" s="1635">
        <f>N212-N234</f>
        <v/>
      </c>
      <c r="O235" s="1636">
        <f>O212-O234</f>
        <v/>
      </c>
      <c r="P235" s="1637">
        <f>P212-P234</f>
        <v/>
      </c>
      <c r="Q235" s="1637">
        <f>SUM(E235:P235)</f>
        <v/>
      </c>
      <c r="R235" s="301" t="n"/>
      <c r="S235" s="2505" t="n"/>
      <c r="T235" s="2505" t="n"/>
      <c r="U235" s="2362" t="n"/>
      <c r="V235" s="2362" t="n"/>
      <c r="W235" s="2362" t="n"/>
      <c r="X235" s="2362" t="n"/>
    </row>
    <row customFormat="1" r="236" s="2362" spans="1:33">
      <c r="A236" s="2632" t="n"/>
      <c r="B236" s="2613" t="s">
        <v>261</v>
      </c>
      <c r="E236" s="1622" t="n"/>
      <c r="F236" s="1623" t="n"/>
      <c r="G236" s="1623" t="n"/>
      <c r="H236" s="1623" t="n"/>
      <c r="I236" s="1623" t="n"/>
      <c r="J236" s="1623" t="n"/>
      <c r="K236" s="1623" t="n"/>
      <c r="L236" s="1623" t="n"/>
      <c r="M236" s="1623" t="n"/>
      <c r="N236" s="1623" t="n"/>
      <c r="O236" s="1623" t="n"/>
      <c r="P236" s="1624" t="n"/>
      <c r="Q236" s="1637">
        <f>SUM(E236:P236)</f>
        <v/>
      </c>
      <c r="R236" s="2504" t="n"/>
      <c r="S236" s="2505" t="n"/>
      <c r="T236" s="2505" t="n"/>
      <c r="U236" s="2362" t="n"/>
      <c r="V236" s="2362" t="n"/>
      <c r="W236" s="2362" t="n"/>
      <c r="X236" s="2362" t="n"/>
    </row>
    <row customFormat="1" customHeight="1" ht="15" r="237" s="2362" spans="1:33" thickBot="1">
      <c r="A237" s="2632" t="n"/>
      <c r="B237" s="2615" t="s">
        <v>262</v>
      </c>
      <c r="E237" s="1638">
        <f>E235-E236</f>
        <v/>
      </c>
      <c r="F237" s="1534">
        <f>F235-F236</f>
        <v/>
      </c>
      <c r="G237" s="1534">
        <f>G235-G236</f>
        <v/>
      </c>
      <c r="H237" s="1534">
        <f>H235-H236</f>
        <v/>
      </c>
      <c r="I237" s="1534">
        <f>I235-I236</f>
        <v/>
      </c>
      <c r="J237" s="1534">
        <f>J235-J236</f>
        <v/>
      </c>
      <c r="K237" s="1534">
        <f>K235-K236</f>
        <v/>
      </c>
      <c r="L237" s="1534">
        <f>L235-L236</f>
        <v/>
      </c>
      <c r="M237" s="1534">
        <f>M235-M236</f>
        <v/>
      </c>
      <c r="N237" s="1534">
        <f>N235-N236</f>
        <v/>
      </c>
      <c r="O237" s="1534">
        <f>O235-O236</f>
        <v/>
      </c>
      <c r="P237" s="1535">
        <f>P235-P236</f>
        <v/>
      </c>
      <c r="Q237" s="1639">
        <f>SUM(E237:P237)</f>
        <v/>
      </c>
      <c r="R237" s="224" t="n"/>
      <c r="S237" s="2505" t="n"/>
      <c r="T237" s="2505" t="n"/>
      <c r="U237" s="2362" t="n"/>
      <c r="V237" s="2362" t="n"/>
      <c r="W237" s="2362" t="n"/>
      <c r="X237" s="2362" t="n"/>
    </row>
    <row customFormat="1" r="238" s="2362" spans="1:33">
      <c r="A238" s="2632" t="n"/>
      <c r="B238" s="2616" t="n"/>
      <c r="C238" s="2617" t="n"/>
      <c r="D238" s="2573" t="s">
        <v>203</v>
      </c>
      <c r="E238" s="8" t="n">
        <v>6</v>
      </c>
      <c r="F238" s="8" t="n">
        <v>5.5</v>
      </c>
      <c r="G238" s="8" t="n">
        <v>5</v>
      </c>
      <c r="H238" s="8" t="n">
        <v>5</v>
      </c>
      <c r="I238" s="8" t="n">
        <v>5</v>
      </c>
      <c r="J238" s="8" t="n">
        <v>5</v>
      </c>
      <c r="K238" s="8" t="n">
        <v>5</v>
      </c>
      <c r="L238" s="8" t="n">
        <v>5</v>
      </c>
      <c r="M238" s="8" t="n">
        <v>5</v>
      </c>
      <c r="N238" s="8" t="n">
        <v>5</v>
      </c>
      <c r="O238" s="8" t="n">
        <v>5</v>
      </c>
      <c r="P238" s="8" t="n">
        <v>5</v>
      </c>
      <c r="Q238" s="241">
        <f>SUM(E238:P238)</f>
        <v/>
      </c>
      <c r="R238" s="224" t="n"/>
      <c r="S238" s="2505" t="n"/>
      <c r="T238" s="2505" t="n"/>
      <c r="U238" s="2362" t="n"/>
      <c r="V238" s="2362" t="n"/>
      <c r="W238" s="2362" t="n"/>
      <c r="X238" s="2362" t="n"/>
    </row>
    <row customFormat="1" r="239" s="2362" spans="1:33">
      <c r="A239" s="2632" t="n"/>
      <c r="B239" s="2616" t="n"/>
      <c r="C239" s="2617" t="n"/>
      <c r="D239" s="2573" t="s">
        <v>201</v>
      </c>
      <c r="E239" s="8">
        <f>E$303*(E346+E353)/E$356</f>
        <v/>
      </c>
      <c r="F239" s="8">
        <f>F$303*(F346+F353)/F$356</f>
        <v/>
      </c>
      <c r="G239" s="8">
        <f>G$303*(G346+G353)/G$356</f>
        <v/>
      </c>
      <c r="H239" s="8">
        <f>H$303*(H346+H353)/H$356</f>
        <v/>
      </c>
      <c r="I239" s="8">
        <f>I$303*(I346+I353)/I$356</f>
        <v/>
      </c>
      <c r="J239" s="8">
        <f>J$303*(J346+J353)/J$356</f>
        <v/>
      </c>
      <c r="K239" s="8">
        <f>K$303*(K346+K353)/K$356</f>
        <v/>
      </c>
      <c r="L239" s="8">
        <f>L$303*(L346+L353)/L$356</f>
        <v/>
      </c>
      <c r="M239" s="8">
        <f>M$303*(M346+M353)/M$356</f>
        <v/>
      </c>
      <c r="N239" s="8">
        <f>N$303*(N346+N353)/N$356</f>
        <v/>
      </c>
      <c r="O239" s="8">
        <f>O$303*(O346+O353)/O$356</f>
        <v/>
      </c>
      <c r="P239" s="8">
        <f>P$303*(P346+P353)/P$356</f>
        <v/>
      </c>
      <c r="Q239" s="241">
        <f>SUM(E239:P239)</f>
        <v/>
      </c>
      <c r="R239" s="224" t="n"/>
      <c r="S239" s="2505" t="n"/>
      <c r="T239" s="2505" t="n"/>
      <c r="U239" s="2362" t="n"/>
      <c r="V239" s="2362" t="n"/>
      <c r="W239" s="2362" t="n"/>
      <c r="X239" s="2362" t="n"/>
    </row>
    <row customFormat="1" r="240" s="2362" spans="1:33">
      <c r="A240" s="2632" t="n"/>
      <c r="B240" s="2618" t="n"/>
      <c r="C240" s="2619" t="n"/>
      <c r="D240" s="2576" t="s">
        <v>264</v>
      </c>
      <c r="E240" s="233">
        <f>E$334*E353/E355</f>
        <v/>
      </c>
      <c r="F240" s="233">
        <f>F$334*F353/F355</f>
        <v/>
      </c>
      <c r="G240" s="233">
        <f>G$334*G353/G355</f>
        <v/>
      </c>
      <c r="H240" s="233">
        <f>H$334*H353/H355</f>
        <v/>
      </c>
      <c r="I240" s="233">
        <f>I$334*I353/I355</f>
        <v/>
      </c>
      <c r="J240" s="233">
        <f>J$334*J353/J355</f>
        <v/>
      </c>
      <c r="K240" s="233">
        <f>K$334*K353/K355</f>
        <v/>
      </c>
      <c r="L240" s="233">
        <f>L$334*L353/L355</f>
        <v/>
      </c>
      <c r="M240" s="233">
        <f>M$334*M353/M355</f>
        <v/>
      </c>
      <c r="N240" s="233">
        <f>N$334*N353/N355</f>
        <v/>
      </c>
      <c r="O240" s="233">
        <f>O$334*O353/O355</f>
        <v/>
      </c>
      <c r="P240" s="233">
        <f>P$334*P353/P355</f>
        <v/>
      </c>
      <c r="Q240" s="232">
        <f>SUM(E240:P240)</f>
        <v/>
      </c>
      <c r="R240" s="224" t="n"/>
      <c r="S240" s="2505" t="n"/>
      <c r="T240" s="2505" t="n"/>
      <c r="U240" s="2422" t="n"/>
      <c r="V240" s="2422" t="n"/>
      <c r="W240" s="2422" t="n"/>
      <c r="X240" s="2362" t="n"/>
    </row>
    <row customHeight="1" ht="15" r="241" s="1843" spans="1:33" thickBot="1">
      <c r="A241" s="2620" t="n"/>
      <c r="B241" s="2621" t="n"/>
      <c r="C241" s="2622" t="n"/>
      <c r="D241" s="2623" t="s">
        <v>79</v>
      </c>
      <c r="E241" s="266">
        <f>E237+E239+E240</f>
        <v/>
      </c>
      <c r="F241" s="265">
        <f>F237+F239+F240</f>
        <v/>
      </c>
      <c r="G241" s="265">
        <f>G237+G239+G240</f>
        <v/>
      </c>
      <c r="H241" s="265">
        <f>H237+H239+H240</f>
        <v/>
      </c>
      <c r="I241" s="265">
        <f>I237+I239+I240</f>
        <v/>
      </c>
      <c r="J241" s="265">
        <f>J237+J239+J240</f>
        <v/>
      </c>
      <c r="K241" s="265">
        <f>K237+K239+K240</f>
        <v/>
      </c>
      <c r="L241" s="265">
        <f>L237+L239+L240</f>
        <v/>
      </c>
      <c r="M241" s="265">
        <f>M237+M239+M240</f>
        <v/>
      </c>
      <c r="N241" s="265">
        <f>N237+N239+N240</f>
        <v/>
      </c>
      <c r="O241" s="265">
        <f>O237+O239+O240</f>
        <v/>
      </c>
      <c r="P241" s="398">
        <f>P237+P239+P240</f>
        <v/>
      </c>
      <c r="Q241" s="264">
        <f>Q237+Q239+Q240</f>
        <v/>
      </c>
      <c r="R241" s="224" t="n"/>
    </row>
    <row customHeight="1" ht="16.5" outlineLevel="1" r="242" s="1843" spans="1:33" thickTop="1">
      <c r="A242" s="2587" t="s">
        <v>271</v>
      </c>
      <c r="B242" s="2588" t="n"/>
      <c r="C242" s="287" t="s">
        <v>243</v>
      </c>
      <c r="D242" s="2589" t="n"/>
      <c r="E242" s="298" t="n"/>
      <c r="F242" s="297" t="n"/>
      <c r="G242" s="297" t="n"/>
      <c r="H242" s="297" t="n"/>
      <c r="I242" s="297" t="n"/>
      <c r="J242" s="297" t="n"/>
      <c r="K242" s="297" t="n"/>
      <c r="L242" s="297" t="n"/>
      <c r="M242" s="388" t="n"/>
      <c r="N242" s="388" t="n"/>
      <c r="O242" s="388" t="n"/>
      <c r="P242" s="389" t="n"/>
      <c r="Q242" s="288">
        <f>SUM(E242:P242)</f>
        <v/>
      </c>
    </row>
    <row customFormat="1" customHeight="1" ht="18" outlineLevel="1" r="243" s="2422" spans="1:33">
      <c r="A243" s="2590" t="s">
        <v>236</v>
      </c>
      <c r="B243" s="2591" t="n"/>
      <c r="C243" s="296" t="s">
        <v>245</v>
      </c>
      <c r="D243" s="2624" t="n"/>
      <c r="E243" s="294" t="n">
        <v>922165.29</v>
      </c>
      <c r="F243" s="294" t="n">
        <v>912576.6899999999</v>
      </c>
      <c r="G243" s="294" t="n">
        <v>930254.26</v>
      </c>
      <c r="H243" s="294" t="n">
        <v>997117.62</v>
      </c>
      <c r="I243" s="294">
        <f>'[5]FY18 SET'!K99</f>
        <v/>
      </c>
      <c r="J243" s="294">
        <f>'[5]FY18 SET'!L99</f>
        <v/>
      </c>
      <c r="K243" s="293">
        <f>'[5]FY18 SET'!N99</f>
        <v/>
      </c>
      <c r="L243" s="293">
        <f>'[5]FY18 SET'!O99</f>
        <v/>
      </c>
      <c r="M243" s="293">
        <f>'[5]FY18 SET'!P99</f>
        <v/>
      </c>
      <c r="N243" s="293">
        <f>'[5]FY18 SET'!Q99</f>
        <v/>
      </c>
      <c r="O243" s="293">
        <f>'[5]FY18 SET'!R99</f>
        <v/>
      </c>
      <c r="P243" s="293">
        <f>'[5]FY18 SET'!S99</f>
        <v/>
      </c>
      <c r="Q243" s="292">
        <f>SUM(E243:P243)</f>
        <v/>
      </c>
      <c r="R243" s="2527">
        <f>'[5]FY18 SET'!U99</f>
        <v/>
      </c>
      <c r="S243" s="2527">
        <f>Q243-R243</f>
        <v/>
      </c>
      <c r="T243" s="2505" t="n"/>
      <c r="U243" s="2362" t="n"/>
      <c r="V243" s="2362" t="n"/>
      <c r="W243" s="2362" t="n"/>
      <c r="X243" s="2422" t="n"/>
      <c r="Y243" s="2422" t="n"/>
      <c r="Z243" s="2422" t="n"/>
      <c r="AA243" s="2422" t="n"/>
    </row>
    <row customHeight="1" ht="15.75" outlineLevel="1" r="244" s="1843" spans="1:33">
      <c r="A244" s="2596" t="n"/>
      <c r="B244" s="2594" t="s">
        <v>246</v>
      </c>
      <c r="C244" s="289" t="n"/>
      <c r="D244" s="2595" t="n"/>
      <c r="E244" s="1622">
        <f>SUM(E243)</f>
        <v/>
      </c>
      <c r="F244" s="1623">
        <f>SUM(F243)</f>
        <v/>
      </c>
      <c r="G244" s="1623">
        <f>SUM(G243)</f>
        <v/>
      </c>
      <c r="H244" s="1623">
        <f>SUM(H243)</f>
        <v/>
      </c>
      <c r="I244" s="1623">
        <f>SUM(I243)</f>
        <v/>
      </c>
      <c r="J244" s="1623">
        <f>SUM(J243)</f>
        <v/>
      </c>
      <c r="K244" s="1623">
        <f>SUM(K243)</f>
        <v/>
      </c>
      <c r="L244" s="1623">
        <f>SUM(L243)</f>
        <v/>
      </c>
      <c r="M244" s="1623">
        <f>SUM(M243)</f>
        <v/>
      </c>
      <c r="N244" s="1623">
        <f>SUM(N243)</f>
        <v/>
      </c>
      <c r="O244" s="1623">
        <f>SUM(O243)</f>
        <v/>
      </c>
      <c r="P244" s="1624">
        <f>SUM(P243)</f>
        <v/>
      </c>
      <c r="Q244" s="1625">
        <f>SUM(E244:P244)</f>
        <v/>
      </c>
    </row>
    <row customHeight="1" ht="15.75" outlineLevel="1" r="245" s="1843" spans="1:33">
      <c r="A245" s="2596" t="n"/>
      <c r="B245" s="2597" t="s">
        <v>247</v>
      </c>
      <c r="C245" s="1627" t="n"/>
      <c r="D245" s="2598" t="n"/>
      <c r="E245" s="1622" t="n"/>
      <c r="F245" s="1623" t="n"/>
      <c r="G245" s="1623" t="n"/>
      <c r="H245" s="1623" t="n"/>
      <c r="I245" s="1623" t="n"/>
      <c r="J245" s="1623" t="n"/>
      <c r="K245" s="1623" t="n"/>
      <c r="L245" s="1623" t="n"/>
      <c r="M245" s="1623" t="n"/>
      <c r="N245" s="1623" t="n"/>
      <c r="O245" s="1623" t="n"/>
      <c r="P245" s="1624" t="n"/>
      <c r="Q245" s="1625">
        <f>SUM(E245:P245)</f>
        <v/>
      </c>
    </row>
    <row customHeight="1" ht="15.75" outlineLevel="1" r="246" s="1843" spans="1:33">
      <c r="A246" s="2596" t="n"/>
      <c r="B246" s="2597" t="s">
        <v>248</v>
      </c>
      <c r="C246" s="1627" t="n"/>
      <c r="D246" s="2598" t="n"/>
      <c r="E246" s="277">
        <f>E244-E245</f>
        <v/>
      </c>
      <c r="F246" s="276">
        <f>F244-F245</f>
        <v/>
      </c>
      <c r="G246" s="276">
        <f>G244-G245</f>
        <v/>
      </c>
      <c r="H246" s="276">
        <f>H244-H245</f>
        <v/>
      </c>
      <c r="I246" s="276">
        <f>I244-I245</f>
        <v/>
      </c>
      <c r="J246" s="276">
        <f>J244-J245</f>
        <v/>
      </c>
      <c r="K246" s="276">
        <f>K244-K245</f>
        <v/>
      </c>
      <c r="L246" s="276">
        <f>L244-L245</f>
        <v/>
      </c>
      <c r="M246" s="276">
        <f>M244-M245</f>
        <v/>
      </c>
      <c r="N246" s="276">
        <f>N244-N245</f>
        <v/>
      </c>
      <c r="O246" s="276">
        <f>O244-O245</f>
        <v/>
      </c>
      <c r="P246" s="391">
        <f>P244-P245</f>
        <v/>
      </c>
      <c r="Q246" s="288">
        <f>SUM(E246:P246)</f>
        <v/>
      </c>
    </row>
    <row customHeight="1" ht="15.75" outlineLevel="1" r="247" s="1843" spans="1:33">
      <c r="A247" s="2596" t="n"/>
      <c r="B247" s="2599" t="n"/>
      <c r="C247" s="1696" t="n"/>
      <c r="D247" s="2600" t="s">
        <v>249</v>
      </c>
      <c r="E247" s="1698" t="n"/>
      <c r="F247" s="1629" t="n"/>
      <c r="G247" s="1629" t="n"/>
      <c r="H247" s="1629" t="n"/>
      <c r="I247" s="1629" t="n"/>
      <c r="J247" s="1629" t="n"/>
      <c r="K247" s="1629" t="n"/>
      <c r="L247" s="1629" t="n"/>
      <c r="M247" s="1629" t="n"/>
      <c r="N247" s="1629" t="n"/>
      <c r="O247" s="1629" t="n"/>
      <c r="P247" s="1630" t="n"/>
      <c r="Q247" s="1699">
        <f>SUM(E247:P247)</f>
        <v/>
      </c>
      <c r="T247" s="2582" t="n"/>
    </row>
    <row customHeight="1" ht="15.75" outlineLevel="1" r="248" s="1843" spans="1:33">
      <c r="A248" s="2596" t="n"/>
      <c r="B248" s="2588" t="n"/>
      <c r="C248" s="287" t="n"/>
      <c r="D248" s="2602" t="s">
        <v>250</v>
      </c>
      <c r="E248" s="283" t="n"/>
      <c r="F248" s="282" t="n"/>
      <c r="G248" s="282" t="n"/>
      <c r="H248" s="282" t="n"/>
      <c r="I248" s="282" t="n"/>
      <c r="J248" s="282" t="n"/>
      <c r="K248" s="282" t="n"/>
      <c r="L248" s="282" t="n"/>
      <c r="M248" s="282" t="n"/>
      <c r="N248" s="282" t="n"/>
      <c r="O248" s="282" t="n"/>
      <c r="P248" s="393" t="n"/>
      <c r="Q248" s="281">
        <f>SUM(E248:P248)</f>
        <v/>
      </c>
    </row>
    <row customHeight="1" ht="15.75" outlineLevel="1" r="249" s="1843" spans="1:33">
      <c r="A249" s="2603" t="n"/>
      <c r="B249" s="2588" t="n"/>
      <c r="C249" s="285" t="s">
        <v>251</v>
      </c>
      <c r="D249" s="2598" t="n"/>
      <c r="E249" s="1622">
        <f>SUM(E247:E248)</f>
        <v/>
      </c>
      <c r="F249" s="1623">
        <f>SUM(F247:F248)</f>
        <v/>
      </c>
      <c r="G249" s="1623">
        <f>SUM(G247:G248)</f>
        <v/>
      </c>
      <c r="H249" s="1623">
        <f>SUM(H247:H248)</f>
        <v/>
      </c>
      <c r="I249" s="1623">
        <f>SUM(I247:I248)</f>
        <v/>
      </c>
      <c r="J249" s="1623">
        <f>SUM(J247:J248)</f>
        <v/>
      </c>
      <c r="K249" s="1623">
        <f>SUM(K247:K248)</f>
        <v/>
      </c>
      <c r="L249" s="1623">
        <f>SUM(L247:L248)</f>
        <v/>
      </c>
      <c r="M249" s="1623">
        <f>SUM(M247:M248)</f>
        <v/>
      </c>
      <c r="N249" s="1623">
        <f>SUM(N247:N248)</f>
        <v/>
      </c>
      <c r="O249" s="1623">
        <f>SUM(O247:O248)</f>
        <v/>
      </c>
      <c r="P249" s="1624">
        <f>SUM(P247:P248)</f>
        <v/>
      </c>
      <c r="Q249" s="1625">
        <f>SUM(E249:P249)</f>
        <v/>
      </c>
    </row>
    <row customHeight="1" ht="15.75" outlineLevel="1" r="250" s="1843" spans="1:33">
      <c r="A250" s="2603" t="n"/>
      <c r="B250" s="2588" t="n"/>
      <c r="C250" s="1696" t="s">
        <v>32</v>
      </c>
      <c r="D250" s="2583" t="s">
        <v>187</v>
      </c>
      <c r="E250" s="1327">
        <f>225363.03+31000</f>
        <v/>
      </c>
      <c r="F250" s="1327" t="n">
        <v>265901.18</v>
      </c>
      <c r="G250" s="1327" t="n">
        <v>225030.51</v>
      </c>
      <c r="H250" s="1327" t="n">
        <v>278854.08</v>
      </c>
      <c r="I250" s="1327" t="n">
        <v>277396.0053</v>
      </c>
      <c r="J250" s="1327" t="n">
        <v>304363.2512</v>
      </c>
      <c r="K250" s="1327" t="n">
        <v>300100.276</v>
      </c>
      <c r="L250" s="818" t="n">
        <v>342830.4196</v>
      </c>
      <c r="M250" s="818" t="n">
        <v>319941.6344</v>
      </c>
      <c r="N250" s="818" t="n">
        <v>365534.6903</v>
      </c>
      <c r="O250" s="818" t="n">
        <v>365534.6903</v>
      </c>
      <c r="P250" s="819" t="n">
        <v>386441.0699</v>
      </c>
      <c r="Q250" s="241">
        <f>SUM(E250:P250)</f>
        <v/>
      </c>
      <c r="R250" s="2527">
        <f>'[6]FY18 CFG'!Q250</f>
        <v/>
      </c>
      <c r="S250" s="2544" t="n"/>
      <c r="V250" s="2538">
        <f>Q250-R250</f>
        <v/>
      </c>
      <c r="W250" s="2538" t="n"/>
      <c r="X250" s="2377" t="n"/>
    </row>
    <row customHeight="1" ht="15.75" outlineLevel="1" r="251" s="1843" spans="1:33">
      <c r="A251" s="2603" t="n"/>
      <c r="B251" s="2588" t="n"/>
      <c r="C251" s="287" t="n"/>
      <c r="D251" s="2382" t="s">
        <v>189</v>
      </c>
      <c r="E251" s="817" t="n"/>
      <c r="F251" s="818" t="n"/>
      <c r="G251" s="818" t="n"/>
      <c r="H251" s="818" t="n"/>
      <c r="I251" s="818" t="n"/>
      <c r="J251" s="818" t="n"/>
      <c r="K251" s="818" t="n"/>
      <c r="L251" s="818" t="n"/>
      <c r="M251" s="818" t="n"/>
      <c r="N251" s="818" t="n"/>
      <c r="O251" s="818" t="n"/>
      <c r="P251" s="819" t="n"/>
      <c r="Q251" s="241">
        <f>SUM(E251:P251)</f>
        <v/>
      </c>
      <c r="V251" s="2538" t="n"/>
      <c r="W251" s="2538" t="n"/>
      <c r="X251" s="2377" t="n"/>
    </row>
    <row customHeight="1" ht="15.75" outlineLevel="1" r="252" s="1843" spans="1:33">
      <c r="A252" s="2625" t="n"/>
      <c r="B252" s="2588" t="n"/>
      <c r="C252" s="287" t="n"/>
      <c r="D252" s="2382" t="s">
        <v>252</v>
      </c>
      <c r="E252" s="1103">
        <f>E398+E403</f>
        <v/>
      </c>
      <c r="F252" s="1103">
        <f>F398+F403</f>
        <v/>
      </c>
      <c r="G252" s="1103">
        <f>G398+G403</f>
        <v/>
      </c>
      <c r="H252" s="1103">
        <f>H398+H403</f>
        <v/>
      </c>
      <c r="I252" s="1103">
        <f>I398+I403</f>
        <v/>
      </c>
      <c r="J252" s="1103">
        <f>J398+J403</f>
        <v/>
      </c>
      <c r="K252" s="1103">
        <f>K398+K403</f>
        <v/>
      </c>
      <c r="L252" s="1103">
        <f>L398+L403</f>
        <v/>
      </c>
      <c r="M252" s="1103">
        <f>M398+M403</f>
        <v/>
      </c>
      <c r="N252" s="1103">
        <f>N398+N403</f>
        <v/>
      </c>
      <c r="O252" s="1103">
        <f>O398+O403</f>
        <v/>
      </c>
      <c r="P252" s="1103">
        <f>P398+P403</f>
        <v/>
      </c>
      <c r="Q252" s="241">
        <f>SUM(E252:P252)</f>
        <v/>
      </c>
      <c r="V252" s="2538" t="n"/>
      <c r="W252" s="2538" t="n"/>
      <c r="X252" s="2377" t="n"/>
    </row>
    <row outlineLevel="1" r="253" s="1843" spans="1:33">
      <c r="A253" s="2626" t="n"/>
      <c r="B253" s="2588" t="n"/>
      <c r="C253" s="287" t="n"/>
      <c r="D253" s="2382" t="s">
        <v>158</v>
      </c>
      <c r="E253" s="817" t="n">
        <v>1226.39</v>
      </c>
      <c r="F253" s="815" t="n">
        <v>1226.31</v>
      </c>
      <c r="G253" s="818" t="n">
        <v>1226.39</v>
      </c>
      <c r="H253" s="818" t="n">
        <v>2759.39</v>
      </c>
      <c r="I253" s="818" t="n">
        <v>355.6836</v>
      </c>
      <c r="J253" s="818" t="n">
        <v>355.6836</v>
      </c>
      <c r="K253" s="818" t="n">
        <v>355.6836</v>
      </c>
      <c r="L253" s="818" t="n">
        <v>355.6836</v>
      </c>
      <c r="M253" s="818" t="n">
        <v>355.6836</v>
      </c>
      <c r="N253" s="818" t="n">
        <v>550.6836</v>
      </c>
      <c r="O253" s="818" t="n">
        <v>550.6836</v>
      </c>
      <c r="P253" s="819" t="n">
        <v>550.6836</v>
      </c>
      <c r="Q253" s="241">
        <f>SUM(E253:P253)</f>
        <v/>
      </c>
      <c r="V253" s="2538" t="n"/>
      <c r="W253" s="2538" t="n"/>
      <c r="X253" s="2377" t="n"/>
    </row>
    <row customHeight="1" ht="15.75" outlineLevel="1" r="254" s="1843" spans="1:33">
      <c r="A254" s="2625" t="n"/>
      <c r="B254" s="2588" t="n"/>
      <c r="C254" s="287" t="n"/>
      <c r="D254" s="2382" t="s">
        <v>192</v>
      </c>
      <c r="E254" s="1327" t="n">
        <v>1950.67</v>
      </c>
      <c r="F254" s="815" t="n">
        <v>296.95</v>
      </c>
      <c r="G254" s="818" t="n">
        <v>868.95</v>
      </c>
      <c r="H254" s="818" t="n">
        <v>1072.4</v>
      </c>
      <c r="I254" s="818" t="n">
        <v>100</v>
      </c>
      <c r="J254" s="818" t="n">
        <v>100</v>
      </c>
      <c r="K254" s="818" t="n">
        <v>100</v>
      </c>
      <c r="L254" s="818" t="n">
        <v>100</v>
      </c>
      <c r="M254" s="818" t="n">
        <v>100</v>
      </c>
      <c r="N254" s="818" t="n">
        <v>100</v>
      </c>
      <c r="O254" s="818" t="n">
        <v>100</v>
      </c>
      <c r="P254" s="819" t="n">
        <v>100</v>
      </c>
      <c r="Q254" s="241">
        <f>SUM(E254:P254)</f>
        <v/>
      </c>
      <c r="V254" s="2538" t="n"/>
      <c r="W254" s="2538" t="n"/>
      <c r="X254" s="2377" t="n"/>
    </row>
    <row customHeight="1" ht="15.75" outlineLevel="1" r="255" s="1843" spans="1:33">
      <c r="A255" s="2625" t="n"/>
      <c r="B255" s="2588" t="n">
        <v>12278</v>
      </c>
      <c r="C255" s="287" t="n"/>
      <c r="D255" s="2382" t="s">
        <v>193</v>
      </c>
      <c r="E255" s="1327" t="n">
        <v>327182.74</v>
      </c>
      <c r="F255" s="1327" t="n">
        <v>300545.44</v>
      </c>
      <c r="G255" s="1327" t="n">
        <v>266819.99</v>
      </c>
      <c r="H255" s="1679" t="n">
        <v>304598.56</v>
      </c>
      <c r="I255" s="1327" t="n">
        <v>439500</v>
      </c>
      <c r="J255" s="1327" t="n">
        <v>443500</v>
      </c>
      <c r="K255" s="1327" t="n">
        <v>536500</v>
      </c>
      <c r="L255" s="1327" t="n">
        <v>536500</v>
      </c>
      <c r="M255" s="1327" t="n">
        <v>558000</v>
      </c>
      <c r="N255" s="1327" t="n">
        <v>568000</v>
      </c>
      <c r="O255" s="1327" t="n">
        <v>568000</v>
      </c>
      <c r="P255" s="1327" t="n">
        <v>568000</v>
      </c>
      <c r="Q255" s="241">
        <f>SUM(E255:P255)</f>
        <v/>
      </c>
      <c r="V255" s="2538" t="n"/>
      <c r="W255" s="2538" t="n"/>
      <c r="X255" s="2377" t="n"/>
    </row>
    <row customHeight="1" ht="15.75" outlineLevel="1" r="256" s="1843" spans="1:33">
      <c r="A256" s="2625" t="n"/>
      <c r="B256" s="2588" t="n"/>
      <c r="C256" s="287" t="n"/>
      <c r="D256" s="2382" t="s">
        <v>213</v>
      </c>
      <c r="E256" s="1327" t="n">
        <v>25038.34</v>
      </c>
      <c r="F256" s="815" t="n">
        <v>26184.79</v>
      </c>
      <c r="G256" s="818" t="n">
        <v>-476.05</v>
      </c>
      <c r="H256" s="1192" t="n">
        <v>25866.64</v>
      </c>
      <c r="I256" s="818" t="n">
        <v>8500</v>
      </c>
      <c r="J256" s="818" t="n">
        <v>8500</v>
      </c>
      <c r="K256" s="818" t="n">
        <v>8500</v>
      </c>
      <c r="L256" s="818" t="n">
        <v>8500</v>
      </c>
      <c r="M256" s="818" t="n">
        <v>8500</v>
      </c>
      <c r="N256" s="818" t="n">
        <v>8500</v>
      </c>
      <c r="O256" s="818" t="n">
        <v>8500</v>
      </c>
      <c r="P256" s="819" t="n">
        <v>8500</v>
      </c>
      <c r="Q256" s="241">
        <f>SUM(E256:P256)</f>
        <v/>
      </c>
      <c r="V256" s="2538" t="n"/>
      <c r="W256" s="2538" t="n"/>
      <c r="X256" s="2377" t="n"/>
    </row>
    <row customFormat="1" customHeight="1" ht="15.75" outlineLevel="1" r="257" s="2362" spans="1:33">
      <c r="A257" s="2627" t="n"/>
      <c r="B257" s="2588" t="n"/>
      <c r="C257" s="287" t="n"/>
      <c r="D257" s="2382" t="s">
        <v>253</v>
      </c>
      <c r="E257" s="817" t="n"/>
      <c r="F257" s="818" t="n"/>
      <c r="G257" s="818" t="n"/>
      <c r="H257" s="818" t="n"/>
      <c r="I257" s="818" t="n"/>
      <c r="J257" s="818" t="n"/>
      <c r="K257" s="818" t="n"/>
      <c r="L257" s="818" t="n"/>
      <c r="M257" s="818" t="n"/>
      <c r="N257" s="818" t="n"/>
      <c r="O257" s="818" t="n"/>
      <c r="P257" s="819" t="n"/>
      <c r="Q257" s="241">
        <f>SUM(E257:P257)</f>
        <v/>
      </c>
      <c r="R257" s="2504" t="n"/>
      <c r="T257" s="2362" t="n"/>
      <c r="U257" s="2362" t="n"/>
      <c r="V257" s="2538" t="n"/>
      <c r="W257" s="2538" t="n"/>
      <c r="X257" s="2377" t="n"/>
    </row>
    <row customFormat="1" customHeight="1" ht="15.75" outlineLevel="1" r="258" s="2362" spans="1:33">
      <c r="A258" s="2627" t="n"/>
      <c r="B258" s="2588" t="n"/>
      <c r="C258" s="287" t="n"/>
      <c r="D258" s="2382" t="s">
        <v>254</v>
      </c>
      <c r="E258" s="817" t="n"/>
      <c r="F258" s="818" t="n"/>
      <c r="G258" s="818" t="n"/>
      <c r="H258" s="818" t="n"/>
      <c r="I258" s="818" t="n"/>
      <c r="J258" s="818" t="n"/>
      <c r="K258" s="818" t="n"/>
      <c r="L258" s="818" t="n"/>
      <c r="M258" s="818" t="n"/>
      <c r="N258" s="818" t="n"/>
      <c r="O258" s="818" t="n"/>
      <c r="P258" s="819" t="n"/>
      <c r="Q258" s="241">
        <f>SUM(E258:P258)</f>
        <v/>
      </c>
      <c r="R258" s="2504" t="n"/>
      <c r="T258" s="2362" t="n"/>
      <c r="U258" s="2362" t="n"/>
      <c r="V258" s="2538" t="n"/>
      <c r="W258" s="2538" t="n"/>
      <c r="X258" s="2377" t="n"/>
    </row>
    <row customFormat="1" customHeight="1" ht="15.75" outlineLevel="1" r="259" s="2362" spans="1:33">
      <c r="A259" s="2627" t="n"/>
      <c r="B259" s="2588" t="n"/>
      <c r="C259" s="287" t="n"/>
      <c r="D259" s="2382" t="s">
        <v>255</v>
      </c>
      <c r="E259" s="1327" t="n">
        <v>4.04</v>
      </c>
      <c r="F259" s="815" t="n">
        <v>275.2</v>
      </c>
      <c r="G259" s="818" t="n">
        <v>5.2</v>
      </c>
      <c r="H259" s="820" t="n">
        <v>6.74</v>
      </c>
      <c r="I259" s="818" t="n">
        <v>200</v>
      </c>
      <c r="J259" s="818" t="n">
        <v>200</v>
      </c>
      <c r="K259" s="818" t="n">
        <v>200</v>
      </c>
      <c r="L259" s="818" t="n">
        <v>200</v>
      </c>
      <c r="M259" s="818" t="n">
        <v>200</v>
      </c>
      <c r="N259" s="818" t="n">
        <v>200</v>
      </c>
      <c r="O259" s="818" t="n">
        <v>200</v>
      </c>
      <c r="P259" s="819" t="n">
        <v>200</v>
      </c>
      <c r="Q259" s="241">
        <f>SUM(E259:P259)</f>
        <v/>
      </c>
      <c r="R259" s="2504" t="n"/>
      <c r="T259" s="2362" t="n"/>
      <c r="U259" s="2362" t="n"/>
      <c r="V259" s="2538" t="n"/>
      <c r="W259" s="2538" t="n"/>
      <c r="X259" s="2377" t="n"/>
    </row>
    <row customFormat="1" customHeight="1" ht="15.75" outlineLevel="1" r="260" s="2362" spans="1:33">
      <c r="A260" s="2627" t="n"/>
      <c r="B260" s="2588" t="n"/>
      <c r="C260" s="395" t="n"/>
      <c r="D260" s="2554" t="s">
        <v>256</v>
      </c>
      <c r="E260" s="835">
        <f>E448-E437+E451*E354/E355</f>
        <v/>
      </c>
      <c r="F260" s="835">
        <f>F448-F437+F451*F354/F355</f>
        <v/>
      </c>
      <c r="G260" s="835">
        <f>G448-G437+G451*G354/G355</f>
        <v/>
      </c>
      <c r="H260" s="835">
        <f>H448-H437+H451*H354/H355</f>
        <v/>
      </c>
      <c r="I260" s="835">
        <f>I448-I437+I451*I354/I355</f>
        <v/>
      </c>
      <c r="J260" s="835">
        <f>J448-J437+J451*J354/J355</f>
        <v/>
      </c>
      <c r="K260" s="835">
        <f>K448-K437+K451*K354/K355</f>
        <v/>
      </c>
      <c r="L260" s="835">
        <f>L448-L437+L451*L354/L355</f>
        <v/>
      </c>
      <c r="M260" s="835">
        <f>M448-M437+M451*M354/M355</f>
        <v/>
      </c>
      <c r="N260" s="835">
        <f>N448-N437+N451*N354/N355</f>
        <v/>
      </c>
      <c r="O260" s="835">
        <f>O448-O437+O451*O354/O355</f>
        <v/>
      </c>
      <c r="P260" s="835">
        <f>P448-P437+P451*P354/P355</f>
        <v/>
      </c>
      <c r="Q260" s="232">
        <f>SUM(E260:P260)</f>
        <v/>
      </c>
      <c r="R260" s="2504" t="n"/>
      <c r="T260" s="2362" t="n"/>
      <c r="U260" s="2362" t="n"/>
      <c r="V260" s="2538" t="n"/>
      <c r="W260" s="2538" t="n"/>
      <c r="X260" s="2377" t="n"/>
    </row>
    <row customFormat="1" customHeight="1" ht="15.75" outlineLevel="1" r="261" s="2362" spans="1:33">
      <c r="A261" s="2606" t="n"/>
      <c r="B261" s="2588" t="n"/>
      <c r="C261" s="287" t="n"/>
      <c r="D261" s="2556" t="s">
        <v>257</v>
      </c>
      <c r="E261" s="234" t="n"/>
      <c r="F261" s="233" t="n"/>
      <c r="G261" s="233" t="n"/>
      <c r="H261" s="233" t="n"/>
      <c r="I261" s="233" t="n"/>
      <c r="J261" s="233" t="n"/>
      <c r="K261" s="233" t="n"/>
      <c r="L261" s="233" t="n"/>
      <c r="M261" s="233" t="n"/>
      <c r="N261" s="233" t="n"/>
      <c r="O261" s="233" t="n"/>
      <c r="P261" s="380" t="n"/>
      <c r="Q261" s="232">
        <f>SUM(E261:P261)</f>
        <v/>
      </c>
      <c r="R261" s="2504" t="n"/>
      <c r="T261" s="2362" t="n"/>
      <c r="U261" s="2362" t="n"/>
      <c r="V261" s="2362" t="n"/>
      <c r="W261" s="2362" t="n"/>
      <c r="X261" s="2362" t="n"/>
    </row>
    <row customFormat="1" customHeight="1" ht="15.75" outlineLevel="1" r="262" s="2362" spans="1:33">
      <c r="A262" s="2606" t="n"/>
      <c r="B262" s="2588" t="n"/>
      <c r="C262" s="287" t="n"/>
      <c r="D262" s="2556" t="s">
        <v>258</v>
      </c>
      <c r="E262" s="234" t="n"/>
      <c r="F262" s="233" t="n"/>
      <c r="G262" s="233" t="n"/>
      <c r="H262" s="233" t="n"/>
      <c r="I262" s="233" t="n"/>
      <c r="J262" s="233" t="n"/>
      <c r="K262" s="233" t="n"/>
      <c r="L262" s="233" t="n"/>
      <c r="M262" s="233" t="n"/>
      <c r="N262" s="233" t="n"/>
      <c r="O262" s="233" t="n"/>
      <c r="P262" s="380" t="n"/>
      <c r="Q262" s="232">
        <f>SUM(E262:P262)</f>
        <v/>
      </c>
      <c r="R262" s="2504" t="n"/>
      <c r="T262" s="2362" t="n"/>
      <c r="U262" s="2362" t="n"/>
      <c r="V262" s="2362" t="n"/>
      <c r="W262" s="2362" t="n"/>
      <c r="X262" s="2362" t="n"/>
    </row>
    <row customFormat="1" customHeight="1" ht="15.75" outlineLevel="1" r="263" s="2362" spans="1:33">
      <c r="A263" s="2606" t="n"/>
      <c r="B263" s="2588" t="n"/>
      <c r="C263" s="285" t="s">
        <v>214</v>
      </c>
      <c r="D263" s="2595" t="n"/>
      <c r="E263" s="283">
        <f>SUM(E250:E262)</f>
        <v/>
      </c>
      <c r="F263" s="282">
        <f>SUM(F250:F262)</f>
        <v/>
      </c>
      <c r="G263" s="282">
        <f>SUM(G250:G262)</f>
        <v/>
      </c>
      <c r="H263" s="282">
        <f>SUM(H250:H262)</f>
        <v/>
      </c>
      <c r="I263" s="282">
        <f>SUM(I250:I262)</f>
        <v/>
      </c>
      <c r="J263" s="282">
        <f>SUM(J250:J262)</f>
        <v/>
      </c>
      <c r="K263" s="282">
        <f>SUM(K250:K262)</f>
        <v/>
      </c>
      <c r="L263" s="282">
        <f>SUM(L250:L262)</f>
        <v/>
      </c>
      <c r="M263" s="282">
        <f>SUM(M250:M262)</f>
        <v/>
      </c>
      <c r="N263" s="282">
        <f>SUM(N250:N262)</f>
        <v/>
      </c>
      <c r="O263" s="282">
        <f>SUM(O250:O262)</f>
        <v/>
      </c>
      <c r="P263" s="393">
        <f>SUM(P250:P262)</f>
        <v/>
      </c>
      <c r="Q263" s="281">
        <f>SUM(E263:P263)</f>
        <v/>
      </c>
      <c r="R263" s="2504" t="n"/>
      <c r="T263" s="2362" t="n"/>
      <c r="U263" s="2362" t="n"/>
      <c r="V263" s="2362" t="n"/>
      <c r="W263" s="2362" t="n"/>
      <c r="X263" s="2362" t="n"/>
    </row>
    <row customFormat="1" customHeight="1" ht="15.75" outlineLevel="1" r="264" s="2362" spans="1:33">
      <c r="A264" s="2606" t="n"/>
      <c r="B264" s="2588" t="n"/>
      <c r="C264" s="1696" t="n"/>
      <c r="D264" s="2558" t="s">
        <v>268</v>
      </c>
      <c r="E264" s="396">
        <f>E372+E481</f>
        <v/>
      </c>
      <c r="F264" s="396">
        <f>F372+F481</f>
        <v/>
      </c>
      <c r="G264" s="396">
        <f>G372+G481</f>
        <v/>
      </c>
      <c r="H264" s="396">
        <f>H372+H481</f>
        <v/>
      </c>
      <c r="I264" s="396">
        <f>I372+I481</f>
        <v/>
      </c>
      <c r="J264" s="396">
        <f>J372+J481</f>
        <v/>
      </c>
      <c r="K264" s="396">
        <f>K372+K481</f>
        <v/>
      </c>
      <c r="L264" s="396">
        <f>L372+L481</f>
        <v/>
      </c>
      <c r="M264" s="396">
        <f>M372+M481</f>
        <v/>
      </c>
      <c r="N264" s="396">
        <f>N372+N481</f>
        <v/>
      </c>
      <c r="O264" s="396">
        <f>O372+O481</f>
        <v/>
      </c>
      <c r="P264" s="396">
        <f>P372+P481</f>
        <v/>
      </c>
      <c r="Q264" s="241">
        <f>SUM(E264:P264)</f>
        <v/>
      </c>
      <c r="R264" s="2504" t="n"/>
      <c r="T264" s="2362" t="n"/>
      <c r="U264" s="2362" t="n"/>
      <c r="V264" s="2362" t="n"/>
      <c r="W264" s="2362" t="n"/>
      <c r="X264" s="2362" t="n"/>
    </row>
    <row customFormat="1" customHeight="1" ht="15.75" outlineLevel="1" r="265" s="2362" spans="1:33">
      <c r="A265" s="2606" t="n"/>
      <c r="B265" s="2588" t="n"/>
      <c r="C265" s="287" t="n"/>
      <c r="D265" s="2560" t="s">
        <v>161</v>
      </c>
      <c r="E265" s="396">
        <f>E426+E437</f>
        <v/>
      </c>
      <c r="F265" s="396">
        <f>F426+F437</f>
        <v/>
      </c>
      <c r="G265" s="396">
        <f>G426+G437</f>
        <v/>
      </c>
      <c r="H265" s="396">
        <f>H426+H437</f>
        <v/>
      </c>
      <c r="I265" s="396">
        <f>I426+I437</f>
        <v/>
      </c>
      <c r="J265" s="396">
        <f>J426+J437</f>
        <v/>
      </c>
      <c r="K265" s="396">
        <f>K426+K437</f>
        <v/>
      </c>
      <c r="L265" s="396">
        <f>L426+L437</f>
        <v/>
      </c>
      <c r="M265" s="396">
        <f>M426+M437</f>
        <v/>
      </c>
      <c r="N265" s="396">
        <f>N426+N437</f>
        <v/>
      </c>
      <c r="O265" s="396">
        <f>O426+O437</f>
        <v/>
      </c>
      <c r="P265" s="396">
        <f>P426+P437</f>
        <v/>
      </c>
      <c r="Q265" s="241">
        <f>SUM(E265:P265)</f>
        <v/>
      </c>
      <c r="R265" s="2504" t="n"/>
      <c r="T265" s="2362" t="n"/>
      <c r="U265" s="2362" t="n"/>
      <c r="V265" s="2362" t="n"/>
      <c r="W265" s="2362" t="n"/>
      <c r="X265" s="2362" t="n"/>
    </row>
    <row customFormat="1" customHeight="1" ht="15.75" outlineLevel="1" r="266" s="2362" spans="1:33">
      <c r="A266" s="2606" t="n"/>
      <c r="B266" s="2588" t="n"/>
      <c r="C266" s="287" t="n"/>
      <c r="D266" s="2561" t="s">
        <v>215</v>
      </c>
      <c r="E266" s="386">
        <f>E407*E272/E339</f>
        <v/>
      </c>
      <c r="F266" s="386">
        <f>F407*F272/F339</f>
        <v/>
      </c>
      <c r="G266" s="386">
        <f>G407*G272/G339</f>
        <v/>
      </c>
      <c r="H266" s="386">
        <f>H407*H272/H339</f>
        <v/>
      </c>
      <c r="I266" s="386">
        <f>I407*I272/I339</f>
        <v/>
      </c>
      <c r="J266" s="386">
        <f>J407*J272/J339</f>
        <v/>
      </c>
      <c r="K266" s="386">
        <f>K407*K272/K339</f>
        <v/>
      </c>
      <c r="L266" s="386">
        <f>L407*L272/L339</f>
        <v/>
      </c>
      <c r="M266" s="386">
        <f>M407*M272/M339</f>
        <v/>
      </c>
      <c r="N266" s="386">
        <f>N407*N272/N339</f>
        <v/>
      </c>
      <c r="O266" s="386">
        <f>O407*O272/O339</f>
        <v/>
      </c>
      <c r="P266" s="386">
        <f>P407*P272/P339</f>
        <v/>
      </c>
      <c r="Q266" s="232">
        <f>SUM(E266:P266)</f>
        <v/>
      </c>
      <c r="R266" s="2504" t="n"/>
      <c r="T266" s="2362" t="n"/>
      <c r="U266" s="2362" t="n"/>
      <c r="V266" s="2362" t="n"/>
      <c r="W266" s="2362" t="n"/>
      <c r="X266" s="2362" t="n"/>
    </row>
    <row customFormat="1" customHeight="1" ht="15.75" outlineLevel="1" r="267" s="2362" spans="1:33">
      <c r="A267" s="2606" t="n"/>
      <c r="B267" s="2588" t="n"/>
      <c r="C267" s="285" t="s">
        <v>217</v>
      </c>
      <c r="D267" s="2595" t="n"/>
      <c r="E267" s="283">
        <f>SUM(E264:E266)</f>
        <v/>
      </c>
      <c r="F267" s="282">
        <f>SUM(F264:F266)</f>
        <v/>
      </c>
      <c r="G267" s="282">
        <f>SUM(G264:G266)</f>
        <v/>
      </c>
      <c r="H267" s="282">
        <f>SUM(H264:H266)</f>
        <v/>
      </c>
      <c r="I267" s="282">
        <f>SUM(I264:I266)</f>
        <v/>
      </c>
      <c r="J267" s="282">
        <f>SUM(J264:J266)</f>
        <v/>
      </c>
      <c r="K267" s="282">
        <f>SUM(K264:K266)</f>
        <v/>
      </c>
      <c r="L267" s="282">
        <f>SUM(L264:L266)</f>
        <v/>
      </c>
      <c r="M267" s="282">
        <f>SUM(M264:M266)</f>
        <v/>
      </c>
      <c r="N267" s="282">
        <f>SUM(N264:N266)</f>
        <v/>
      </c>
      <c r="O267" s="282">
        <f>SUM(O264:O266)</f>
        <v/>
      </c>
      <c r="P267" s="393">
        <f>SUM(P264:P266)</f>
        <v/>
      </c>
      <c r="Q267" s="281">
        <f>SUM(E267:P267)</f>
        <v/>
      </c>
      <c r="R267" s="2504" t="n"/>
      <c r="T267" s="2362" t="n"/>
      <c r="U267" s="2362" t="n"/>
      <c r="V267" s="2362" t="n"/>
      <c r="W267" s="2362" t="n"/>
      <c r="X267" s="2362" t="n"/>
    </row>
    <row customFormat="1" outlineLevel="1" r="268" s="2362" spans="1:33">
      <c r="A268" s="2608" t="n"/>
      <c r="B268" s="2608" t="s">
        <v>259</v>
      </c>
      <c r="C268" s="405" t="n"/>
      <c r="D268" s="2609" t="n"/>
      <c r="E268" s="277">
        <f>SUM(E267,E263,E249)</f>
        <v/>
      </c>
      <c r="F268" s="276">
        <f>SUM(F267,F263,F249)</f>
        <v/>
      </c>
      <c r="G268" s="276">
        <f>SUM(G267,G263,G249)</f>
        <v/>
      </c>
      <c r="H268" s="276">
        <f>SUM(H267,H263,H249)</f>
        <v/>
      </c>
      <c r="I268" s="276">
        <f>SUM(I267,I263,I249)</f>
        <v/>
      </c>
      <c r="J268" s="276">
        <f>SUM(J267,J263,J249)</f>
        <v/>
      </c>
      <c r="K268" s="276">
        <f>SUM(K267,K263,K249)</f>
        <v/>
      </c>
      <c r="L268" s="276">
        <f>SUM(L267,L263,L249)</f>
        <v/>
      </c>
      <c r="M268" s="276">
        <f>SUM(M267,M263,M249)</f>
        <v/>
      </c>
      <c r="N268" s="276">
        <f>SUM(N267,N263,N249)</f>
        <v/>
      </c>
      <c r="O268" s="276">
        <f>SUM(O267,O263,O249)</f>
        <v/>
      </c>
      <c r="P268" s="1630">
        <f>SUM(P267,P263,P249)</f>
        <v/>
      </c>
      <c r="Q268" s="1699">
        <f>SUM(E268:P268)</f>
        <v/>
      </c>
      <c r="R268" s="2504" t="n"/>
      <c r="T268" s="2362" t="n"/>
      <c r="U268" s="2362" t="n"/>
      <c r="V268" s="2362" t="n"/>
      <c r="W268" s="2362" t="n"/>
      <c r="X268" s="2362" t="n"/>
    </row>
    <row customFormat="1" r="269" s="2362" spans="1:33">
      <c r="A269" s="2610" t="n"/>
      <c r="B269" s="2611" t="s">
        <v>260</v>
      </c>
      <c r="C269" s="1632" t="n"/>
      <c r="D269" s="2612" t="n"/>
      <c r="E269" s="1634">
        <f>E246-E268</f>
        <v/>
      </c>
      <c r="F269" s="1635">
        <f>F246-F268</f>
        <v/>
      </c>
      <c r="G269" s="1635">
        <f>G246-G268</f>
        <v/>
      </c>
      <c r="H269" s="1635">
        <f>H246-H268</f>
        <v/>
      </c>
      <c r="I269" s="1635">
        <f>I246-I268</f>
        <v/>
      </c>
      <c r="J269" s="1635">
        <f>J246-J268</f>
        <v/>
      </c>
      <c r="K269" s="1635">
        <f>K246-K268</f>
        <v/>
      </c>
      <c r="L269" s="1635">
        <f>L246-L268</f>
        <v/>
      </c>
      <c r="M269" s="1635">
        <f>M246-M268</f>
        <v/>
      </c>
      <c r="N269" s="1635">
        <f>N246-N268</f>
        <v/>
      </c>
      <c r="O269" s="1635">
        <f>O246-O268</f>
        <v/>
      </c>
      <c r="P269" s="1636">
        <f>P246-P268</f>
        <v/>
      </c>
      <c r="Q269" s="1637">
        <f>SUM(E269:P269)</f>
        <v/>
      </c>
      <c r="R269" s="2504" t="n"/>
      <c r="T269" s="2362" t="n"/>
      <c r="U269" s="2362" t="n"/>
      <c r="V269" s="2362" t="n"/>
      <c r="W269" s="2362" t="n"/>
      <c r="X269" s="2362" t="n"/>
    </row>
    <row customFormat="1" r="270" s="2362" spans="1:33">
      <c r="A270" s="2614" t="n"/>
      <c r="B270" s="2613" t="s">
        <v>261</v>
      </c>
      <c r="E270" s="1622" t="n"/>
      <c r="F270" s="1623" t="n"/>
      <c r="G270" s="1623" t="n"/>
      <c r="H270" s="1623" t="n"/>
      <c r="I270" s="1623" t="n"/>
      <c r="J270" s="1623" t="n"/>
      <c r="K270" s="1623" t="n"/>
      <c r="L270" s="1623" t="n"/>
      <c r="M270" s="1623" t="n"/>
      <c r="N270" s="1623" t="n"/>
      <c r="O270" s="1623" t="n"/>
      <c r="P270" s="1624" t="n"/>
      <c r="Q270" s="1637">
        <f>SUM(E270:P270)</f>
        <v/>
      </c>
      <c r="R270" s="2504" t="n"/>
      <c r="T270" s="2362" t="n"/>
      <c r="U270" s="2362" t="n"/>
      <c r="V270" s="2362" t="n"/>
      <c r="W270" s="2362" t="n"/>
      <c r="X270" s="2362" t="n"/>
    </row>
    <row customFormat="1" customHeight="1" ht="15" r="271" s="2362" spans="1:33" thickBot="1">
      <c r="A271" s="2614" t="n"/>
      <c r="B271" s="2615" t="s">
        <v>262</v>
      </c>
      <c r="E271" s="1638">
        <f>E269-E270</f>
        <v/>
      </c>
      <c r="F271" s="1534">
        <f>F269-F270</f>
        <v/>
      </c>
      <c r="G271" s="1534">
        <f>G269-G270</f>
        <v/>
      </c>
      <c r="H271" s="1534">
        <f>H269-H270</f>
        <v/>
      </c>
      <c r="I271" s="1534">
        <f>I269-I270</f>
        <v/>
      </c>
      <c r="J271" s="1534">
        <f>J269-J270</f>
        <v/>
      </c>
      <c r="K271" s="1534">
        <f>K269-K270</f>
        <v/>
      </c>
      <c r="L271" s="1534">
        <f>L269-L270</f>
        <v/>
      </c>
      <c r="M271" s="1534">
        <f>M269-M270</f>
        <v/>
      </c>
      <c r="N271" s="1534">
        <f>N269-N270</f>
        <v/>
      </c>
      <c r="O271" s="1534">
        <f>O269-O270</f>
        <v/>
      </c>
      <c r="P271" s="1535">
        <f>P269-P270</f>
        <v/>
      </c>
      <c r="Q271" s="1639">
        <f>SUM(E271:P271)</f>
        <v/>
      </c>
      <c r="R271" s="224" t="n"/>
      <c r="T271" s="2362" t="n"/>
      <c r="U271" s="2362" t="n"/>
      <c r="V271" s="2362" t="n"/>
      <c r="W271" s="2362" t="n"/>
      <c r="X271" s="2362" t="n"/>
    </row>
    <row customFormat="1" r="272" s="2362" spans="1:33">
      <c r="A272" s="2614" t="n"/>
      <c r="B272" s="2616" t="n"/>
      <c r="C272" s="2617" t="n"/>
      <c r="D272" s="2573" t="s">
        <v>203</v>
      </c>
      <c r="E272" s="8" t="n">
        <v>6</v>
      </c>
      <c r="F272" s="8" t="n">
        <v>5.5</v>
      </c>
      <c r="G272" s="8">
        <f>6+1</f>
        <v/>
      </c>
      <c r="H272" s="8">
        <f>6</f>
        <v/>
      </c>
      <c r="I272" s="8" t="n">
        <v>7</v>
      </c>
      <c r="J272" s="8" t="n">
        <v>7</v>
      </c>
      <c r="K272" s="8" t="n">
        <v>7</v>
      </c>
      <c r="L272" s="8" t="n">
        <v>8</v>
      </c>
      <c r="M272" s="8" t="n">
        <v>8</v>
      </c>
      <c r="N272" s="8" t="n">
        <v>9</v>
      </c>
      <c r="O272" s="8" t="n">
        <v>9</v>
      </c>
      <c r="P272" s="8" t="n">
        <v>9</v>
      </c>
      <c r="Q272" s="241">
        <f>SUM(E272:P272)</f>
        <v/>
      </c>
      <c r="R272" s="224" t="n"/>
      <c r="T272" s="2362" t="n"/>
      <c r="U272" s="2362" t="n"/>
      <c r="V272" s="2362" t="n"/>
      <c r="W272" s="2362" t="n"/>
      <c r="X272" s="2362" t="n"/>
    </row>
    <row customFormat="1" r="273" s="2362" spans="1:33">
      <c r="A273" s="2614" t="n"/>
      <c r="B273" s="2616" t="n"/>
      <c r="C273" s="2617" t="n"/>
      <c r="D273" s="2573" t="s">
        <v>201</v>
      </c>
      <c r="E273" s="8">
        <f>E303*(E347+E354)/E$356</f>
        <v/>
      </c>
      <c r="F273" s="8">
        <f>F303*(F347+F354)/F$356</f>
        <v/>
      </c>
      <c r="G273" s="8">
        <f>G303*(G347+G354)/G$356</f>
        <v/>
      </c>
      <c r="H273" s="8">
        <f>H303*(H347+H354)/H$356</f>
        <v/>
      </c>
      <c r="I273" s="8">
        <f>I303*(I347+I354)/I$356</f>
        <v/>
      </c>
      <c r="J273" s="8">
        <f>J303*(J347+J354)/J$356</f>
        <v/>
      </c>
      <c r="K273" s="8">
        <f>K303*(K347+K354)/K$356</f>
        <v/>
      </c>
      <c r="L273" s="8">
        <f>L303*(L347+L354)/L$356</f>
        <v/>
      </c>
      <c r="M273" s="8">
        <f>M303*(M347+M354)/M$356</f>
        <v/>
      </c>
      <c r="N273" s="8">
        <f>N303*(N347+N354)/N$356</f>
        <v/>
      </c>
      <c r="O273" s="8">
        <f>O303*(O347+O354)/O$356</f>
        <v/>
      </c>
      <c r="P273" s="8">
        <f>P303*(P347+P354)/P$356</f>
        <v/>
      </c>
      <c r="Q273" s="241">
        <f>SUM(E273:P273)</f>
        <v/>
      </c>
      <c r="R273" s="224" t="n"/>
      <c r="S273" s="2505" t="n"/>
      <c r="T273" s="2505" t="n"/>
      <c r="U273" s="2362" t="n"/>
      <c r="V273" s="2362" t="n"/>
      <c r="W273" s="2362" t="n"/>
      <c r="X273" s="2362" t="n"/>
    </row>
    <row customFormat="1" r="274" s="2362" spans="1:33">
      <c r="A274" s="2614" t="n"/>
      <c r="B274" s="2618" t="n"/>
      <c r="C274" s="2619" t="n"/>
      <c r="D274" s="2576" t="s">
        <v>264</v>
      </c>
      <c r="E274" s="233">
        <f>E$334*E354/E355</f>
        <v/>
      </c>
      <c r="F274" s="233">
        <f>F$334*F354/F355</f>
        <v/>
      </c>
      <c r="G274" s="233">
        <f>G$334*G354/G355</f>
        <v/>
      </c>
      <c r="H274" s="233">
        <f>H$334*H354/H355</f>
        <v/>
      </c>
      <c r="I274" s="233">
        <f>I$334*I354/I355</f>
        <v/>
      </c>
      <c r="J274" s="233">
        <f>J$334*J354/J355</f>
        <v/>
      </c>
      <c r="K274" s="233">
        <f>K$334*K354/K355</f>
        <v/>
      </c>
      <c r="L274" s="233">
        <f>L$334*L354/L355</f>
        <v/>
      </c>
      <c r="M274" s="233">
        <f>M$334*M354/M355</f>
        <v/>
      </c>
      <c r="N274" s="233">
        <f>N$334*N354/N355</f>
        <v/>
      </c>
      <c r="O274" s="233">
        <f>O$334*O354/O355</f>
        <v/>
      </c>
      <c r="P274" s="233">
        <f>P$334*P354/P355</f>
        <v/>
      </c>
      <c r="Q274" s="232">
        <f>SUM(E274:P274)</f>
        <v/>
      </c>
      <c r="R274" s="224" t="n"/>
      <c r="S274" s="2505" t="n"/>
      <c r="T274" s="2505" t="n"/>
      <c r="U274" s="2362" t="n"/>
      <c r="V274" s="2362" t="n"/>
      <c r="W274" s="2362" t="n"/>
      <c r="X274" s="2362" t="n"/>
    </row>
    <row customFormat="1" customHeight="1" ht="15" r="275" s="2362" spans="1:33" thickBot="1">
      <c r="A275" s="2620" t="n"/>
      <c r="B275" s="2621" t="n"/>
      <c r="C275" s="2622" t="n"/>
      <c r="D275" s="2623" t="s">
        <v>79</v>
      </c>
      <c r="E275" s="266">
        <f>E271+E273+E274</f>
        <v/>
      </c>
      <c r="F275" s="265">
        <f>F271+F273+F274</f>
        <v/>
      </c>
      <c r="G275" s="265">
        <f>G271+G273+G274</f>
        <v/>
      </c>
      <c r="H275" s="265">
        <f>H271+H273+H274</f>
        <v/>
      </c>
      <c r="I275" s="265">
        <f>I271+I273+I274</f>
        <v/>
      </c>
      <c r="J275" s="265">
        <f>J271+J273+J274</f>
        <v/>
      </c>
      <c r="K275" s="265">
        <f>K271+K273+K274</f>
        <v/>
      </c>
      <c r="L275" s="265">
        <f>L271+L273+L274</f>
        <v/>
      </c>
      <c r="M275" s="265">
        <f>M271+M273+M274</f>
        <v/>
      </c>
      <c r="N275" s="265">
        <f>N271+N273+N274</f>
        <v/>
      </c>
      <c r="O275" s="265">
        <f>O271+O273+O274</f>
        <v/>
      </c>
      <c r="P275" s="398">
        <f>P271+P273+P274</f>
        <v/>
      </c>
      <c r="Q275" s="264">
        <f>Q271+Q273+Q274</f>
        <v/>
      </c>
      <c r="R275" s="224" t="n"/>
      <c r="S275" s="2505" t="n"/>
      <c r="T275" s="2505" t="n"/>
      <c r="U275" s="2362" t="n"/>
      <c r="V275" s="2362" t="n"/>
      <c r="W275" s="2362" t="n"/>
      <c r="X275" s="2362" t="n"/>
    </row>
    <row customFormat="1" customHeight="1" ht="16.5" outlineLevel="1" r="276" s="2362" spans="1:33" thickTop="1">
      <c r="A276" s="2633" t="s">
        <v>272</v>
      </c>
      <c r="B276" s="2634" t="n"/>
      <c r="C276" s="246" t="s">
        <v>243</v>
      </c>
      <c r="D276" s="2635" t="n"/>
      <c r="E276" s="229" t="n"/>
      <c r="F276" s="228" t="n"/>
      <c r="G276" s="228" t="n"/>
      <c r="H276" s="228" t="n"/>
      <c r="I276" s="228" t="n"/>
      <c r="J276" s="228" t="n"/>
      <c r="K276" s="228" t="n"/>
      <c r="L276" s="228" t="n"/>
      <c r="M276" s="399" t="n"/>
      <c r="N276" s="399" t="n"/>
      <c r="O276" s="399" t="n"/>
      <c r="P276" s="400" t="n"/>
      <c r="Q276" s="256">
        <f>SUM(E276:P276)</f>
        <v/>
      </c>
      <c r="R276" s="2504" t="n"/>
      <c r="S276" s="2505" t="n"/>
      <c r="T276" s="2505" t="n"/>
      <c r="U276" s="2362" t="n"/>
      <c r="V276" s="2362" t="n"/>
      <c r="W276" s="2362" t="n"/>
      <c r="X276" s="2362" t="n"/>
    </row>
    <row customFormat="1" customHeight="1" ht="18" outlineLevel="1" r="277" s="2362" spans="1:33">
      <c r="A277" s="2636" t="n"/>
      <c r="B277" s="2637" t="n"/>
      <c r="C277" s="260" t="s">
        <v>245</v>
      </c>
      <c r="D277" s="2638" t="n"/>
      <c r="E277" s="244" t="n"/>
      <c r="F277" s="243" t="n"/>
      <c r="G277" s="243" t="n"/>
      <c r="H277" s="243" t="n"/>
      <c r="I277" s="243" t="n"/>
      <c r="J277" s="243" t="n"/>
      <c r="K277" s="243" t="n"/>
      <c r="L277" s="243" t="n"/>
      <c r="M277" s="243" t="n"/>
      <c r="N277" s="243" t="n"/>
      <c r="O277" s="243" t="n"/>
      <c r="P277" s="402" t="n"/>
      <c r="Q277" s="242">
        <f>SUM(E277:P277)</f>
        <v/>
      </c>
      <c r="R277" s="2504" t="n"/>
      <c r="S277" s="2505" t="n"/>
      <c r="T277" s="2505" t="n"/>
      <c r="U277" s="2362" t="n"/>
      <c r="V277" s="2362" t="n"/>
      <c r="W277" s="2362" t="n"/>
      <c r="X277" s="2362" t="n"/>
    </row>
    <row customFormat="1" customHeight="1" ht="15.75" outlineLevel="1" r="278" s="2362" spans="1:33">
      <c r="A278" s="2633" t="n"/>
      <c r="B278" s="2639" t="s">
        <v>246</v>
      </c>
      <c r="C278" s="258" t="n"/>
      <c r="D278" s="2638" t="n"/>
      <c r="E278" s="1641">
        <f>SUM(E277)</f>
        <v/>
      </c>
      <c r="F278" s="1642">
        <f>SUM(F277)</f>
        <v/>
      </c>
      <c r="G278" s="1642">
        <f>SUM(G277)</f>
        <v/>
      </c>
      <c r="H278" s="1642">
        <f>SUM(H277)</f>
        <v/>
      </c>
      <c r="I278" s="1642">
        <f>SUM(I277)</f>
        <v/>
      </c>
      <c r="J278" s="1642">
        <f>SUM(J277)</f>
        <v/>
      </c>
      <c r="K278" s="1642">
        <f>SUM(K277)</f>
        <v/>
      </c>
      <c r="L278" s="1642">
        <f>SUM(L277)</f>
        <v/>
      </c>
      <c r="M278" s="1642">
        <f>SUM(M277)</f>
        <v/>
      </c>
      <c r="N278" s="1642">
        <f>SUM(N277)</f>
        <v/>
      </c>
      <c r="O278" s="1642">
        <f>SUM(O277)</f>
        <v/>
      </c>
      <c r="P278" s="1643">
        <f>SUM(P277)</f>
        <v/>
      </c>
      <c r="Q278" s="1644">
        <f>SUM(E278:P278)</f>
        <v/>
      </c>
      <c r="R278" s="2504" t="n"/>
      <c r="S278" s="2505" t="n"/>
      <c r="T278" s="2505" t="n"/>
      <c r="U278" s="2362" t="n"/>
      <c r="V278" s="2362" t="n"/>
      <c r="W278" s="2362" t="n"/>
      <c r="X278" s="2362" t="n"/>
    </row>
    <row customFormat="1" customHeight="1" ht="15.75" outlineLevel="1" r="279" s="2362" spans="1:33">
      <c r="A279" s="2633" t="n"/>
      <c r="B279" s="2640" t="s">
        <v>247</v>
      </c>
      <c r="C279" s="1646" t="n"/>
      <c r="D279" s="2641" t="n"/>
      <c r="E279" s="1641" t="n"/>
      <c r="F279" s="1642" t="n"/>
      <c r="G279" s="1642" t="n"/>
      <c r="H279" s="1642" t="n"/>
      <c r="I279" s="1642" t="n"/>
      <c r="J279" s="1642" t="n"/>
      <c r="K279" s="1642" t="n"/>
      <c r="L279" s="1642" t="n"/>
      <c r="M279" s="1642" t="n"/>
      <c r="N279" s="1642" t="n"/>
      <c r="O279" s="1642" t="n"/>
      <c r="P279" s="1643" t="n"/>
      <c r="Q279" s="1644">
        <f>SUM(E279:P279)</f>
        <v/>
      </c>
      <c r="R279" s="2504" t="n"/>
      <c r="S279" s="2505" t="n"/>
      <c r="T279" s="2505" t="n"/>
      <c r="U279" s="2362" t="n"/>
      <c r="V279" s="2362" t="n"/>
      <c r="W279" s="2362" t="n"/>
      <c r="X279" s="2362" t="n"/>
    </row>
    <row customFormat="1" customHeight="1" ht="15.75" outlineLevel="1" r="280" s="2362" spans="1:33">
      <c r="A280" s="2642" t="n"/>
      <c r="B280" s="2640" t="s">
        <v>248</v>
      </c>
      <c r="C280" s="1646" t="n"/>
      <c r="D280" s="2641" t="n"/>
      <c r="E280" s="229">
        <f>E278-E279</f>
        <v/>
      </c>
      <c r="F280" s="228">
        <f>F278-F279</f>
        <v/>
      </c>
      <c r="G280" s="228">
        <f>G278-G279</f>
        <v/>
      </c>
      <c r="H280" s="228">
        <f>H278-H279</f>
        <v/>
      </c>
      <c r="I280" s="228">
        <f>I278-I279</f>
        <v/>
      </c>
      <c r="J280" s="228">
        <f>J278-J279</f>
        <v/>
      </c>
      <c r="K280" s="228">
        <f>K278-K279</f>
        <v/>
      </c>
      <c r="L280" s="228">
        <f>L278-L279</f>
        <v/>
      </c>
      <c r="M280" s="228">
        <f>M278-M279</f>
        <v/>
      </c>
      <c r="N280" s="228">
        <f>N278-N279</f>
        <v/>
      </c>
      <c r="O280" s="228">
        <f>O278-O279</f>
        <v/>
      </c>
      <c r="P280" s="403">
        <f>P278-P279</f>
        <v/>
      </c>
      <c r="Q280" s="256">
        <f>SUM(E280:P280)</f>
        <v/>
      </c>
      <c r="R280" s="2504" t="n"/>
      <c r="S280" s="2505" t="n"/>
      <c r="T280" s="2505" t="n"/>
      <c r="U280" s="2362" t="n"/>
      <c r="V280" s="2362" t="n"/>
      <c r="W280" s="2362" t="n"/>
      <c r="X280" s="2362" t="n"/>
    </row>
    <row customFormat="1" customHeight="1" ht="15.75" outlineLevel="1" r="281" s="2362" spans="1:33">
      <c r="A281" s="2642" t="n"/>
      <c r="B281" s="2643" t="n"/>
      <c r="C281" s="1704" t="n"/>
      <c r="D281" s="2644" t="s">
        <v>249</v>
      </c>
      <c r="E281" s="1706" t="n"/>
      <c r="F281" s="1648" t="n"/>
      <c r="G281" s="1648" t="n"/>
      <c r="H281" s="1648" t="n"/>
      <c r="I281" s="1648" t="n"/>
      <c r="J281" s="1648" t="n"/>
      <c r="K281" s="1648" t="n"/>
      <c r="L281" s="1648" t="n"/>
      <c r="M281" s="1648" t="n"/>
      <c r="N281" s="1648" t="n"/>
      <c r="O281" s="1648" t="n"/>
      <c r="P281" s="1649" t="n"/>
      <c r="Q281" s="1707">
        <f>SUM(E281:P281)</f>
        <v/>
      </c>
      <c r="R281" s="2504" t="n"/>
      <c r="S281" s="2505" t="n"/>
      <c r="T281" s="2582" t="n"/>
      <c r="U281" s="2362" t="n"/>
      <c r="V281" s="2362" t="n"/>
      <c r="W281" s="2362" t="n"/>
      <c r="X281" s="2362" t="n"/>
    </row>
    <row customFormat="1" customHeight="1" ht="15.75" outlineLevel="1" r="282" s="2362" spans="1:33">
      <c r="A282" s="2642" t="n"/>
      <c r="B282" s="2634" t="n"/>
      <c r="C282" s="246" t="n"/>
      <c r="D282" s="2637" t="s">
        <v>250</v>
      </c>
      <c r="E282" s="244" t="n"/>
      <c r="F282" s="243" t="n"/>
      <c r="G282" s="243" t="n"/>
      <c r="H282" s="243" t="n"/>
      <c r="I282" s="243" t="n"/>
      <c r="J282" s="243" t="n"/>
      <c r="K282" s="243" t="n"/>
      <c r="L282" s="243" t="n"/>
      <c r="M282" s="243" t="n"/>
      <c r="N282" s="243" t="n"/>
      <c r="O282" s="243" t="n"/>
      <c r="P282" s="402" t="n"/>
      <c r="Q282" s="242">
        <f>SUM(E282:P282)</f>
        <v/>
      </c>
      <c r="R282" s="2504" t="n"/>
      <c r="S282" s="2505" t="n"/>
      <c r="T282" s="2505" t="n"/>
      <c r="U282" s="2362" t="n"/>
      <c r="V282" s="2362" t="n"/>
      <c r="W282" s="2362" t="n"/>
      <c r="X282" s="2362" t="n"/>
    </row>
    <row customFormat="1" customHeight="1" ht="15.75" outlineLevel="1" r="283" s="2362" spans="1:33">
      <c r="A283" s="2642" t="n"/>
      <c r="B283" s="2634" t="n"/>
      <c r="C283" s="236" t="s">
        <v>251</v>
      </c>
      <c r="D283" s="2641" t="n"/>
      <c r="E283" s="1641">
        <f>SUM(E281:E282)</f>
        <v/>
      </c>
      <c r="F283" s="1642">
        <f>SUM(F281:F282)</f>
        <v/>
      </c>
      <c r="G283" s="1642">
        <f>SUM(G281:G282)</f>
        <v/>
      </c>
      <c r="H283" s="1642">
        <f>SUM(H281:H282)</f>
        <v/>
      </c>
      <c r="I283" s="1642">
        <f>SUM(I281:I282)</f>
        <v/>
      </c>
      <c r="J283" s="1642">
        <f>SUM(J281:J282)</f>
        <v/>
      </c>
      <c r="K283" s="1642">
        <f>SUM(K281:K282)</f>
        <v/>
      </c>
      <c r="L283" s="1642">
        <f>SUM(L281:L282)</f>
        <v/>
      </c>
      <c r="M283" s="1642">
        <f>SUM(M281:M282)</f>
        <v/>
      </c>
      <c r="N283" s="1642">
        <f>SUM(N281:N282)</f>
        <v/>
      </c>
      <c r="O283" s="1642">
        <f>SUM(O281:O282)</f>
        <v/>
      </c>
      <c r="P283" s="1643">
        <f>SUM(P281:P282)</f>
        <v/>
      </c>
      <c r="Q283" s="242">
        <f>SUM(E283:P283)</f>
        <v/>
      </c>
      <c r="R283" s="2504" t="n"/>
      <c r="S283" s="2505" t="n"/>
      <c r="T283" s="2505" t="n"/>
      <c r="U283" s="2362" t="n"/>
      <c r="V283" s="2362" t="n"/>
      <c r="W283" s="2362" t="n"/>
      <c r="X283" s="2362" t="n"/>
    </row>
    <row customFormat="1" customHeight="1" ht="15.75" outlineLevel="1" r="284" s="2362" spans="1:33">
      <c r="A284" s="2642" t="n"/>
      <c r="B284" s="2634" t="n"/>
      <c r="C284" s="1704" t="n"/>
      <c r="D284" s="2583" t="s">
        <v>187</v>
      </c>
      <c r="E284" s="833">
        <f>E411-E412+E414</f>
        <v/>
      </c>
      <c r="F284" s="833">
        <f>F411-F412+F414</f>
        <v/>
      </c>
      <c r="G284" s="833">
        <f>G411-G412+G414</f>
        <v/>
      </c>
      <c r="H284" s="833">
        <f>H411-H412+H414</f>
        <v/>
      </c>
      <c r="I284" s="833">
        <f>I411-I412+I414</f>
        <v/>
      </c>
      <c r="J284" s="833">
        <f>J411-J412+J414</f>
        <v/>
      </c>
      <c r="K284" s="833">
        <f>K411-K412+K414</f>
        <v/>
      </c>
      <c r="L284" s="833">
        <f>L411-L412+L414</f>
        <v/>
      </c>
      <c r="M284" s="833">
        <f>M411-M412+M414</f>
        <v/>
      </c>
      <c r="N284" s="833">
        <f>N411-N412+N414</f>
        <v/>
      </c>
      <c r="O284" s="833">
        <f>O411-O412+O414</f>
        <v/>
      </c>
      <c r="P284" s="833">
        <f>P411-P412+P414</f>
        <v/>
      </c>
      <c r="Q284" s="241">
        <f>SUM(E284:P284)</f>
        <v/>
      </c>
      <c r="R284" s="2527">
        <f>'[6]FY18 CFG'!Q284</f>
        <v/>
      </c>
      <c r="S284" s="2544" t="n"/>
      <c r="T284" s="2505" t="n"/>
      <c r="U284" s="2362" t="n"/>
      <c r="V284" s="2538">
        <f>Q284-R284</f>
        <v/>
      </c>
      <c r="W284" s="2538" t="n"/>
      <c r="X284" s="2377" t="n"/>
    </row>
    <row customFormat="1" customHeight="1" ht="15.75" outlineLevel="1" r="285" s="2362" spans="1:33">
      <c r="A285" s="2642" t="n"/>
      <c r="B285" s="2634" t="n"/>
      <c r="C285" s="246" t="n"/>
      <c r="D285" s="2382" t="s">
        <v>189</v>
      </c>
      <c r="E285" s="817" t="n"/>
      <c r="F285" s="817" t="n"/>
      <c r="G285" s="818" t="n"/>
      <c r="H285" s="818" t="n"/>
      <c r="I285" s="818" t="n">
        <v>200</v>
      </c>
      <c r="J285" s="818" t="n">
        <v>200</v>
      </c>
      <c r="K285" s="818" t="n">
        <v>200</v>
      </c>
      <c r="L285" s="818" t="n">
        <v>200</v>
      </c>
      <c r="M285" s="818" t="n">
        <v>200</v>
      </c>
      <c r="N285" s="818" t="n">
        <v>200</v>
      </c>
      <c r="O285" s="818" t="n">
        <v>200</v>
      </c>
      <c r="P285" s="819" t="n">
        <v>200</v>
      </c>
      <c r="Q285" s="241">
        <f>SUM(E285:P285)</f>
        <v/>
      </c>
      <c r="R285" s="2504" t="n"/>
      <c r="S285" s="2505" t="n"/>
      <c r="T285" s="2505" t="n"/>
      <c r="U285" s="2362" t="n"/>
      <c r="V285" s="2538" t="n"/>
      <c r="W285" s="2538" t="n"/>
      <c r="X285" s="2377" t="n"/>
    </row>
    <row customFormat="1" customHeight="1" ht="15.75" outlineLevel="1" r="286" s="2362" spans="1:33">
      <c r="A286" s="2645" t="n"/>
      <c r="B286" s="2634" t="n"/>
      <c r="C286" s="246" t="n"/>
      <c r="D286" s="2382" t="s">
        <v>252</v>
      </c>
      <c r="E286" s="833">
        <f>E484+E488</f>
        <v/>
      </c>
      <c r="F286" s="833">
        <f>F484+F488</f>
        <v/>
      </c>
      <c r="G286" s="833">
        <f>G484+G488</f>
        <v/>
      </c>
      <c r="H286" s="833">
        <f>H484+H488</f>
        <v/>
      </c>
      <c r="I286" s="833">
        <f>I484+I488</f>
        <v/>
      </c>
      <c r="J286" s="833">
        <f>J484+J488</f>
        <v/>
      </c>
      <c r="K286" s="833">
        <f>K484+K488</f>
        <v/>
      </c>
      <c r="L286" s="833">
        <f>L484+L488</f>
        <v/>
      </c>
      <c r="M286" s="833">
        <f>M484+M488</f>
        <v/>
      </c>
      <c r="N286" s="833">
        <f>N484+N488</f>
        <v/>
      </c>
      <c r="O286" s="833">
        <f>O484+O488</f>
        <v/>
      </c>
      <c r="P286" s="833">
        <f>P484+P488</f>
        <v/>
      </c>
      <c r="Q286" s="241">
        <f>SUM(E286:P286)</f>
        <v/>
      </c>
      <c r="R286" s="2504" t="n"/>
      <c r="S286" s="2505" t="n"/>
      <c r="T286" s="2505" t="n"/>
      <c r="U286" s="2362" t="n"/>
      <c r="V286" s="2538" t="n"/>
      <c r="W286" s="2538" t="n"/>
      <c r="X286" s="2377" t="n"/>
    </row>
    <row customFormat="1" outlineLevel="1" r="287" s="2362" spans="1:33">
      <c r="A287" s="2646" t="n"/>
      <c r="B287" s="2634" t="n"/>
      <c r="C287" s="246" t="n"/>
      <c r="D287" s="2382" t="s">
        <v>158</v>
      </c>
      <c r="E287" s="1327" t="n">
        <v>2721.62</v>
      </c>
      <c r="F287" s="1327" t="n">
        <v>2721.59</v>
      </c>
      <c r="G287" s="1327" t="n">
        <v>3327.55</v>
      </c>
      <c r="H287" s="1327" t="n">
        <v>3431.39</v>
      </c>
      <c r="I287" s="1327">
        <f>SUM(I486,I490)</f>
        <v/>
      </c>
      <c r="J287" s="1327">
        <f>SUM(J486,J490)</f>
        <v/>
      </c>
      <c r="K287" s="1327">
        <f>SUM(K486,K490)</f>
        <v/>
      </c>
      <c r="L287" s="1327">
        <f>SUM(L486,L490)</f>
        <v/>
      </c>
      <c r="M287" s="1327">
        <f>SUM(M486,M490)</f>
        <v/>
      </c>
      <c r="N287" s="1327">
        <f>SUM(N486,N490)</f>
        <v/>
      </c>
      <c r="O287" s="1327">
        <f>SUM(O486,O490)</f>
        <v/>
      </c>
      <c r="P287" s="1327">
        <f>SUM(P486,P490)</f>
        <v/>
      </c>
      <c r="Q287" s="241">
        <f>SUM(E287:P287)</f>
        <v/>
      </c>
      <c r="R287" s="2504" t="n"/>
      <c r="S287" s="2505" t="n"/>
      <c r="T287" s="2505" t="n"/>
      <c r="U287" s="2362" t="n"/>
      <c r="V287" s="2538" t="n"/>
      <c r="W287" s="2538" t="n"/>
      <c r="X287" s="2377" t="n"/>
    </row>
    <row customFormat="1" customHeight="1" ht="15.75" outlineLevel="1" r="288" s="2362" spans="1:33">
      <c r="A288" s="2645" t="n"/>
      <c r="B288" s="2634" t="n"/>
      <c r="C288" s="246" t="n"/>
      <c r="D288" s="2382" t="s">
        <v>192</v>
      </c>
      <c r="E288" s="1327" t="n">
        <v>41.52</v>
      </c>
      <c r="F288" s="815" t="n"/>
      <c r="G288" s="815" t="n">
        <v>35.38</v>
      </c>
      <c r="H288" s="818" t="n">
        <v>4148.46</v>
      </c>
      <c r="I288" s="818" t="n">
        <v>450</v>
      </c>
      <c r="J288" s="818" t="n">
        <v>450</v>
      </c>
      <c r="K288" s="818" t="n">
        <v>450</v>
      </c>
      <c r="L288" s="818" t="n">
        <v>450</v>
      </c>
      <c r="M288" s="818" t="n">
        <v>450</v>
      </c>
      <c r="N288" s="818" t="n">
        <v>450</v>
      </c>
      <c r="O288" s="818" t="n">
        <v>450</v>
      </c>
      <c r="P288" s="819" t="n">
        <v>450</v>
      </c>
      <c r="Q288" s="241">
        <f>SUM(E288:P288)</f>
        <v/>
      </c>
      <c r="R288" s="2504" t="n"/>
      <c r="S288" s="2505" t="n"/>
      <c r="T288" s="2505" t="n"/>
      <c r="U288" s="2362" t="n"/>
      <c r="V288" s="2538" t="n"/>
      <c r="W288" s="2538" t="n"/>
      <c r="X288" s="2377" t="n"/>
    </row>
    <row customFormat="1" customHeight="1" ht="15.75" outlineLevel="1" r="289" s="2362" spans="1:33">
      <c r="A289" s="2645" t="n"/>
      <c r="B289" s="2634" t="n"/>
      <c r="C289" s="246" t="n"/>
      <c r="D289" s="2382" t="s">
        <v>193</v>
      </c>
      <c r="E289" s="1327" t="n">
        <v>43913</v>
      </c>
      <c r="F289" s="815" t="n">
        <v>43913</v>
      </c>
      <c r="G289" s="815" t="n">
        <v>43912</v>
      </c>
      <c r="H289" s="818" t="n">
        <v>81533</v>
      </c>
      <c r="I289" s="818" t="n">
        <v>43000</v>
      </c>
      <c r="J289" s="818" t="n">
        <v>43000</v>
      </c>
      <c r="K289" s="818" t="n">
        <v>43000</v>
      </c>
      <c r="L289" s="818" t="n">
        <v>43000</v>
      </c>
      <c r="M289" s="818" t="n">
        <v>43000</v>
      </c>
      <c r="N289" s="818" t="n">
        <v>43000</v>
      </c>
      <c r="O289" s="818" t="n">
        <v>43000</v>
      </c>
      <c r="P289" s="819" t="n">
        <v>43000</v>
      </c>
      <c r="Q289" s="241">
        <f>SUM(E289:P289)</f>
        <v/>
      </c>
      <c r="R289" s="2552" t="n"/>
      <c r="T289" s="2362" t="n"/>
      <c r="U289" s="2362" t="n"/>
      <c r="V289" s="2538" t="n"/>
      <c r="W289" s="2538" t="n"/>
      <c r="X289" s="2377" t="n"/>
    </row>
    <row customFormat="1" outlineLevel="1" r="290" s="2362" spans="1:33">
      <c r="A290" s="2647" t="n"/>
      <c r="B290" s="2634" t="n"/>
      <c r="C290" s="246" t="n"/>
      <c r="D290" s="2382" t="s">
        <v>213</v>
      </c>
      <c r="E290" s="1327" t="n">
        <v>1840.39</v>
      </c>
      <c r="F290" s="815" t="n">
        <v>1943.21</v>
      </c>
      <c r="G290" s="815">
        <f>1408.99+12587.57</f>
        <v/>
      </c>
      <c r="H290" s="818" t="n">
        <v>1736.49</v>
      </c>
      <c r="I290" s="818" t="n">
        <v>1200</v>
      </c>
      <c r="J290" s="818" t="n">
        <v>1200</v>
      </c>
      <c r="K290" s="818" t="n">
        <v>1200</v>
      </c>
      <c r="L290" s="818" t="n">
        <v>1200</v>
      </c>
      <c r="M290" s="818" t="n">
        <v>1200</v>
      </c>
      <c r="N290" s="818" t="n">
        <v>1200</v>
      </c>
      <c r="O290" s="818" t="n">
        <v>1200</v>
      </c>
      <c r="P290" s="819" t="n">
        <v>1200</v>
      </c>
      <c r="Q290" s="241">
        <f>SUM(E290:P290)</f>
        <v/>
      </c>
      <c r="R290" s="2504" t="n"/>
      <c r="T290" s="2362" t="n"/>
      <c r="U290" s="2362" t="n"/>
      <c r="V290" s="2538" t="n"/>
      <c r="W290" s="2538" t="n"/>
      <c r="X290" s="2377" t="n"/>
    </row>
    <row customFormat="1" customHeight="1" ht="15.75" outlineLevel="1" r="291" s="2362" spans="1:33">
      <c r="A291" s="2648" t="n"/>
      <c r="B291" s="2634" t="n"/>
      <c r="C291" s="246" t="n"/>
      <c r="D291" s="2382" t="s">
        <v>253</v>
      </c>
      <c r="E291" s="11" t="n"/>
      <c r="F291" s="1380" t="n"/>
      <c r="G291" s="1380" t="n"/>
      <c r="H291" s="1380" t="n"/>
      <c r="I291" s="1380" t="n"/>
      <c r="J291" s="1380" t="n"/>
      <c r="K291" s="1380" t="n"/>
      <c r="L291" s="1380" t="n"/>
      <c r="M291" s="1380" t="n"/>
      <c r="N291" s="1380" t="n"/>
      <c r="O291" s="1380" t="n"/>
      <c r="P291" s="385" t="n"/>
      <c r="Q291" s="241">
        <f>SUM(E291:P291)</f>
        <v/>
      </c>
      <c r="R291" s="2504" t="n"/>
      <c r="T291" s="2362" t="n"/>
      <c r="U291" s="2362" t="n"/>
      <c r="V291" s="2538" t="n"/>
      <c r="W291" s="2538" t="n"/>
      <c r="X291" s="2377" t="n"/>
    </row>
    <row customFormat="1" customHeight="1" ht="15.75" outlineLevel="1" r="292" s="2362" spans="1:33">
      <c r="A292" s="2648" t="n"/>
      <c r="B292" s="2634" t="n"/>
      <c r="C292" s="246" t="n"/>
      <c r="D292" s="2382" t="s">
        <v>254</v>
      </c>
      <c r="E292" s="11" t="n"/>
      <c r="F292" s="1380" t="n"/>
      <c r="G292" s="1380" t="n"/>
      <c r="H292" s="1380" t="n"/>
      <c r="I292" s="1380" t="n"/>
      <c r="J292" s="1380" t="n"/>
      <c r="K292" s="1380" t="n"/>
      <c r="L292" s="1380" t="n"/>
      <c r="M292" s="1380" t="n"/>
      <c r="N292" s="1380" t="n"/>
      <c r="O292" s="1380" t="n"/>
      <c r="P292" s="385" t="n"/>
      <c r="Q292" s="241">
        <f>SUM(E292:P292)</f>
        <v/>
      </c>
      <c r="R292" s="2504" t="n"/>
      <c r="T292" s="2362" t="n"/>
      <c r="U292" s="2362" t="n"/>
      <c r="V292" s="2538" t="n"/>
      <c r="W292" s="2538" t="n"/>
      <c r="X292" s="2377" t="n"/>
    </row>
    <row customFormat="1" customHeight="1" ht="15.75" outlineLevel="1" r="293" s="2362" spans="1:33">
      <c r="A293" s="2648" t="n"/>
      <c r="B293" s="2634" t="n"/>
      <c r="C293" s="246" t="n"/>
      <c r="D293" s="2382" t="s">
        <v>255</v>
      </c>
      <c r="E293" s="8" t="n">
        <v>0.67</v>
      </c>
      <c r="F293" s="9">
        <f>2622.29-168.33</f>
        <v/>
      </c>
      <c r="G293" s="9" t="n"/>
      <c r="H293" s="9" t="n">
        <v>0.07000000000000001</v>
      </c>
      <c r="I293" s="9" t="n"/>
      <c r="J293" s="9" t="n"/>
      <c r="K293" s="9" t="n"/>
      <c r="L293" s="9" t="n"/>
      <c r="M293" s="9" t="n"/>
      <c r="N293" s="9" t="n"/>
      <c r="O293" s="9" t="n"/>
      <c r="P293" s="378" t="n"/>
      <c r="Q293" s="241">
        <f>SUM(E293:P293)</f>
        <v/>
      </c>
      <c r="R293" s="2504" t="n"/>
      <c r="T293" s="2362" t="n"/>
      <c r="U293" s="2362" t="n"/>
      <c r="V293" s="2538" t="n"/>
      <c r="W293" s="2538" t="n"/>
      <c r="X293" s="2377" t="n"/>
    </row>
    <row customFormat="1" outlineLevel="1" r="294" s="2362" spans="1:33">
      <c r="A294" s="2647" t="n"/>
      <c r="B294" s="2634" t="n"/>
      <c r="C294" s="404" t="n"/>
      <c r="D294" s="2554" t="s">
        <v>256</v>
      </c>
      <c r="E294" s="835">
        <f>E449-E438</f>
        <v/>
      </c>
      <c r="F294" s="835">
        <f>F449-F438</f>
        <v/>
      </c>
      <c r="G294" s="835">
        <f>G449-G438</f>
        <v/>
      </c>
      <c r="H294" s="835">
        <f>H449-H438</f>
        <v/>
      </c>
      <c r="I294" s="835">
        <f>I449-I438</f>
        <v/>
      </c>
      <c r="J294" s="835">
        <f>J449-J438</f>
        <v/>
      </c>
      <c r="K294" s="835">
        <f>K449-K438</f>
        <v/>
      </c>
      <c r="L294" s="835">
        <f>L449-L438</f>
        <v/>
      </c>
      <c r="M294" s="835">
        <f>M449-M438</f>
        <v/>
      </c>
      <c r="N294" s="835">
        <f>N449-N438</f>
        <v/>
      </c>
      <c r="O294" s="835">
        <f>O449-O438</f>
        <v/>
      </c>
      <c r="P294" s="835">
        <f>P449-P438</f>
        <v/>
      </c>
      <c r="Q294" s="232">
        <f>SUM(E294:P294)</f>
        <v/>
      </c>
      <c r="R294" s="2555" t="n"/>
      <c r="T294" s="2362" t="n"/>
      <c r="U294" s="2362" t="n"/>
      <c r="V294" s="2538" t="n"/>
      <c r="W294" s="2538" t="n"/>
      <c r="X294" s="2377" t="n"/>
    </row>
    <row customFormat="1" customHeight="1" ht="15.75" outlineLevel="1" r="295" s="2362" spans="1:33">
      <c r="A295" s="2649" t="n"/>
      <c r="B295" s="2634" t="n"/>
      <c r="C295" s="246" t="n"/>
      <c r="D295" s="2556" t="s">
        <v>257</v>
      </c>
      <c r="E295" s="234" t="n"/>
      <c r="F295" s="233" t="n"/>
      <c r="G295" s="233" t="n"/>
      <c r="H295" s="233" t="n"/>
      <c r="I295" s="233" t="n"/>
      <c r="J295" s="233" t="n"/>
      <c r="K295" s="233" t="n"/>
      <c r="L295" s="233" t="n"/>
      <c r="M295" s="233" t="n"/>
      <c r="N295" s="233" t="n"/>
      <c r="O295" s="233" t="n"/>
      <c r="P295" s="380" t="n"/>
      <c r="Q295" s="232">
        <f>SUM(E295:P295)</f>
        <v/>
      </c>
      <c r="R295" s="2504" t="n"/>
      <c r="T295" s="2362" t="n"/>
      <c r="U295" s="2362" t="n"/>
      <c r="V295" s="2362" t="n"/>
      <c r="W295" s="2362" t="n"/>
      <c r="X295" s="2362" t="n"/>
    </row>
    <row customFormat="1" customHeight="1" ht="15.75" outlineLevel="1" r="296" s="2362" spans="1:33">
      <c r="A296" s="2649" t="n"/>
      <c r="B296" s="2634" t="n"/>
      <c r="C296" s="246" t="n"/>
      <c r="D296" s="2556" t="s">
        <v>258</v>
      </c>
      <c r="E296" s="234" t="n"/>
      <c r="F296" s="233" t="n"/>
      <c r="G296" s="233" t="n"/>
      <c r="H296" s="233" t="n"/>
      <c r="I296" s="233" t="n"/>
      <c r="J296" s="233" t="n"/>
      <c r="K296" s="233" t="n"/>
      <c r="L296" s="233" t="n"/>
      <c r="M296" s="233" t="n"/>
      <c r="N296" s="233" t="n"/>
      <c r="O296" s="233" t="n"/>
      <c r="P296" s="380" t="n"/>
      <c r="Q296" s="232">
        <f>SUM(E296:P296)</f>
        <v/>
      </c>
      <c r="R296" s="2504" t="n"/>
      <c r="T296" s="2362" t="n"/>
      <c r="U296" s="2362" t="n"/>
      <c r="V296" s="2362" t="n"/>
      <c r="W296" s="2362" t="n"/>
      <c r="X296" s="2362" t="n"/>
    </row>
    <row customFormat="1" customHeight="1" ht="15.75" outlineLevel="1" r="297" s="2362" spans="1:33">
      <c r="A297" s="2649" t="n"/>
      <c r="B297" s="2634" t="n"/>
      <c r="C297" s="236" t="s">
        <v>214</v>
      </c>
      <c r="D297" s="2638" t="n"/>
      <c r="E297" s="244">
        <f>SUM(E284:E296)</f>
        <v/>
      </c>
      <c r="F297" s="243">
        <f>SUM(F284:F296)</f>
        <v/>
      </c>
      <c r="G297" s="243">
        <f>SUM(G284:G296)</f>
        <v/>
      </c>
      <c r="H297" s="243">
        <f>SUM(H284:H296)</f>
        <v/>
      </c>
      <c r="I297" s="243">
        <f>SUM(I284:I296)</f>
        <v/>
      </c>
      <c r="J297" s="243">
        <f>SUM(J284:J296)</f>
        <v/>
      </c>
      <c r="K297" s="243">
        <f>SUM(K284:K296)</f>
        <v/>
      </c>
      <c r="L297" s="243">
        <f>SUM(L284:L296)</f>
        <v/>
      </c>
      <c r="M297" s="243">
        <f>SUM(M284:M296)</f>
        <v/>
      </c>
      <c r="N297" s="243">
        <f>SUM(N284:N296)</f>
        <v/>
      </c>
      <c r="O297" s="243">
        <f>SUM(O284:O296)</f>
        <v/>
      </c>
      <c r="P297" s="402">
        <f>SUM(P284:P296)</f>
        <v/>
      </c>
      <c r="Q297" s="242">
        <f>SUM(E297:P297)</f>
        <v/>
      </c>
      <c r="R297" s="2504" t="n"/>
      <c r="T297" s="2362" t="n"/>
      <c r="U297" s="2362" t="n"/>
      <c r="V297" s="2362" t="n"/>
      <c r="W297" s="2362" t="n"/>
      <c r="X297" s="2362" t="n"/>
    </row>
    <row customFormat="1" customHeight="1" ht="15.75" outlineLevel="1" r="298" s="2362" spans="1:33">
      <c r="A298" s="2649" t="n"/>
      <c r="B298" s="2634" t="n"/>
      <c r="C298" s="1704" t="n"/>
      <c r="D298" s="2583" t="s">
        <v>273</v>
      </c>
      <c r="E298" s="1708">
        <f>SUM(E485,E489)</f>
        <v/>
      </c>
      <c r="F298" s="1708">
        <f>SUM(F485,F489)</f>
        <v/>
      </c>
      <c r="G298" s="1708">
        <f>SUM(G485,G489)</f>
        <v/>
      </c>
      <c r="H298" s="1708">
        <f>SUM(H485,H489)</f>
        <v/>
      </c>
      <c r="I298" s="1708">
        <f>SUM(I485,I489)</f>
        <v/>
      </c>
      <c r="J298" s="1708">
        <f>SUM(J485,J489)</f>
        <v/>
      </c>
      <c r="K298" s="1708">
        <f>SUM(K485,K489)</f>
        <v/>
      </c>
      <c r="L298" s="1708">
        <f>SUM(L485,L489)</f>
        <v/>
      </c>
      <c r="M298" s="1708">
        <f>SUM(M485,M489)</f>
        <v/>
      </c>
      <c r="N298" s="1708">
        <f>SUM(N485,N489)</f>
        <v/>
      </c>
      <c r="O298" s="1708">
        <f>SUM(O485,O489)</f>
        <v/>
      </c>
      <c r="P298" s="1708">
        <f>SUM(P485,P489)</f>
        <v/>
      </c>
      <c r="Q298" s="241">
        <f>SUM(E298:P298)</f>
        <v/>
      </c>
      <c r="R298" s="2504" t="n"/>
      <c r="T298" s="2362" t="n"/>
      <c r="U298" s="2362" t="n"/>
      <c r="V298" s="2362" t="n"/>
      <c r="W298" s="2362" t="n"/>
      <c r="X298" s="2362" t="n"/>
    </row>
    <row customFormat="1" customHeight="1" ht="15.75" outlineLevel="1" r="299" s="2362" spans="1:33">
      <c r="A299" s="2649" t="n"/>
      <c r="B299" s="2634" t="n"/>
      <c r="C299" s="246" t="n"/>
      <c r="D299" s="2382" t="s">
        <v>161</v>
      </c>
      <c r="E299" s="396">
        <f>E427+E438</f>
        <v/>
      </c>
      <c r="F299" s="396">
        <f>F427+F438</f>
        <v/>
      </c>
      <c r="G299" s="396">
        <f>G427+G438</f>
        <v/>
      </c>
      <c r="H299" s="396">
        <f>H427+H438</f>
        <v/>
      </c>
      <c r="I299" s="396">
        <f>I427+I438</f>
        <v/>
      </c>
      <c r="J299" s="396">
        <f>J427+J438</f>
        <v/>
      </c>
      <c r="K299" s="396">
        <f>K427+K438</f>
        <v/>
      </c>
      <c r="L299" s="396">
        <f>L427+L438</f>
        <v/>
      </c>
      <c r="M299" s="396">
        <f>M427+M438</f>
        <v/>
      </c>
      <c r="N299" s="396">
        <f>N427+N438</f>
        <v/>
      </c>
      <c r="O299" s="396">
        <f>O427+O438</f>
        <v/>
      </c>
      <c r="P299" s="396">
        <f>P427+P438</f>
        <v/>
      </c>
      <c r="Q299" s="241">
        <f>SUM(E299:P299)</f>
        <v/>
      </c>
      <c r="R299" s="2504" t="n"/>
      <c r="T299" s="2362" t="n"/>
      <c r="U299" s="2362" t="n"/>
      <c r="V299" s="2362" t="n"/>
      <c r="W299" s="2362" t="n"/>
      <c r="X299" s="2362" t="n"/>
    </row>
    <row customFormat="1" customHeight="1" ht="15.75" outlineLevel="1" r="300" s="2362" spans="1:33">
      <c r="A300" s="2649" t="n"/>
      <c r="B300" s="2634" t="n"/>
      <c r="C300" s="240" t="n"/>
      <c r="D300" s="2650" t="s">
        <v>215</v>
      </c>
      <c r="E300" s="386">
        <f>E407*5/E339</f>
        <v/>
      </c>
      <c r="F300" s="386">
        <f>F407*5/F339</f>
        <v/>
      </c>
      <c r="G300" s="386">
        <f>G407*5/G339</f>
        <v/>
      </c>
      <c r="H300" s="386">
        <f>H407*5/H339</f>
        <v/>
      </c>
      <c r="I300" s="386">
        <f>I407*5/I339</f>
        <v/>
      </c>
      <c r="J300" s="386">
        <f>J407*5/J339</f>
        <v/>
      </c>
      <c r="K300" s="386">
        <f>K407*5/K339</f>
        <v/>
      </c>
      <c r="L300" s="386">
        <f>L407*5/L339</f>
        <v/>
      </c>
      <c r="M300" s="386">
        <f>M407*5/M339</f>
        <v/>
      </c>
      <c r="N300" s="386">
        <f>N407*5/N339</f>
        <v/>
      </c>
      <c r="O300" s="386">
        <f>O407*5/O339</f>
        <v/>
      </c>
      <c r="P300" s="386">
        <f>P407*5/P339</f>
        <v/>
      </c>
      <c r="Q300" s="232">
        <f>SUM(E300:P300)</f>
        <v/>
      </c>
      <c r="R300" s="2504" t="n"/>
      <c r="T300" s="2362" t="n"/>
      <c r="U300" s="2362" t="n"/>
      <c r="V300" s="2362" t="n"/>
      <c r="W300" s="2362" t="n"/>
      <c r="X300" s="2362" t="n"/>
    </row>
    <row customFormat="1" customHeight="1" ht="15.75" outlineLevel="1" r="301" s="2362" spans="1:33">
      <c r="A301" s="2649" t="n"/>
      <c r="B301" s="2634" t="n"/>
      <c r="C301" s="236" t="s">
        <v>217</v>
      </c>
      <c r="D301" s="2638" t="n"/>
      <c r="E301" s="244">
        <f>SUM(E298:E300)</f>
        <v/>
      </c>
      <c r="F301" s="243">
        <f>SUM(F298:F300)</f>
        <v/>
      </c>
      <c r="G301" s="243">
        <f>SUM(G298:G300)</f>
        <v/>
      </c>
      <c r="H301" s="243">
        <f>SUM(H298:H300)</f>
        <v/>
      </c>
      <c r="I301" s="243">
        <f>SUM(I298:I300)</f>
        <v/>
      </c>
      <c r="J301" s="243">
        <f>SUM(J298:J300)</f>
        <v/>
      </c>
      <c r="K301" s="243">
        <f>SUM(K298:K300)</f>
        <v/>
      </c>
      <c r="L301" s="243">
        <f>SUM(L298:L300)</f>
        <v/>
      </c>
      <c r="M301" s="243">
        <f>SUM(M298:M300)</f>
        <v/>
      </c>
      <c r="N301" s="243">
        <f>SUM(N298:N300)</f>
        <v/>
      </c>
      <c r="O301" s="243">
        <f>SUM(O298:O300)</f>
        <v/>
      </c>
      <c r="P301" s="402">
        <f>SUM(P298:P300)</f>
        <v/>
      </c>
      <c r="Q301" s="242">
        <f>SUM(E301:P301)</f>
        <v/>
      </c>
      <c r="R301" s="2504" t="n"/>
      <c r="T301" s="2362" t="n"/>
      <c r="U301" s="2362" t="n"/>
      <c r="V301" s="2362" t="n"/>
      <c r="W301" s="2362" t="n"/>
      <c r="X301" s="2362" t="n"/>
    </row>
    <row customFormat="1" outlineLevel="1" r="302" s="2362" spans="1:33">
      <c r="A302" s="2651" t="n"/>
      <c r="B302" s="2651" t="s">
        <v>259</v>
      </c>
      <c r="C302" s="231" t="n"/>
      <c r="D302" s="2652" t="n"/>
      <c r="E302" s="229">
        <f>SUM(E301,E297,E283)</f>
        <v/>
      </c>
      <c r="F302" s="228">
        <f>SUM(F301,F297,F283)</f>
        <v/>
      </c>
      <c r="G302" s="228">
        <f>SUM(G301,G297,G283)</f>
        <v/>
      </c>
      <c r="H302" s="228">
        <f>SUM(H301,H297,H283)</f>
        <v/>
      </c>
      <c r="I302" s="228">
        <f>SUM(I301,I297,I283)</f>
        <v/>
      </c>
      <c r="J302" s="228">
        <f>SUM(J301,J297,J283)</f>
        <v/>
      </c>
      <c r="K302" s="228">
        <f>SUM(K301,K297,K283)</f>
        <v/>
      </c>
      <c r="L302" s="228">
        <f>SUM(L301,L297,L283)</f>
        <v/>
      </c>
      <c r="M302" s="228">
        <f>SUM(M301,M297,M283)</f>
        <v/>
      </c>
      <c r="N302" s="228">
        <f>SUM(N301,N297,N283)</f>
        <v/>
      </c>
      <c r="O302" s="228">
        <f>SUM(O301,O297,O283)</f>
        <v/>
      </c>
      <c r="P302" s="1649">
        <f>SUM(P301,P297,P283)</f>
        <v/>
      </c>
      <c r="Q302" s="1707">
        <f>SUM(E302:P302)</f>
        <v/>
      </c>
      <c r="R302" s="2504" t="n"/>
      <c r="T302" s="2362" t="n"/>
      <c r="U302" s="2362" t="n"/>
      <c r="V302" s="2362" t="n"/>
      <c r="W302" s="2362" t="n"/>
      <c r="X302" s="2362" t="n"/>
    </row>
    <row customFormat="1" r="303" s="2362" spans="1:33">
      <c r="A303" s="2653" t="n"/>
      <c r="B303" s="2654" t="s">
        <v>260</v>
      </c>
      <c r="C303" s="1651" t="n"/>
      <c r="D303" s="2655" t="n"/>
      <c r="E303" s="1653">
        <f>E280-E302</f>
        <v/>
      </c>
      <c r="F303" s="1654">
        <f>F280-F302</f>
        <v/>
      </c>
      <c r="G303" s="1654">
        <f>G280-G302</f>
        <v/>
      </c>
      <c r="H303" s="1654">
        <f>H280-H302</f>
        <v/>
      </c>
      <c r="I303" s="1654">
        <f>I280-I302</f>
        <v/>
      </c>
      <c r="J303" s="1654">
        <f>J280-J302</f>
        <v/>
      </c>
      <c r="K303" s="1654">
        <f>K280-K302</f>
        <v/>
      </c>
      <c r="L303" s="1654">
        <f>L280-L302</f>
        <v/>
      </c>
      <c r="M303" s="1654">
        <f>M280-M302</f>
        <v/>
      </c>
      <c r="N303" s="1654">
        <f>N280-N302</f>
        <v/>
      </c>
      <c r="O303" s="1654">
        <f>O280-O302</f>
        <v/>
      </c>
      <c r="P303" s="1655">
        <f>P280-P302</f>
        <v/>
      </c>
      <c r="Q303" s="1656">
        <f>SUM(E303:P303)</f>
        <v/>
      </c>
      <c r="R303" s="2504" t="n"/>
      <c r="T303" s="2362" t="n"/>
      <c r="U303" s="2362" t="n"/>
      <c r="V303" s="2362" t="n"/>
      <c r="W303" s="2362" t="n"/>
      <c r="X303" s="2362" t="n"/>
    </row>
    <row customFormat="1" r="304" s="2362" spans="1:33">
      <c r="A304" s="2651" t="n"/>
      <c r="B304" s="2656" t="s">
        <v>261</v>
      </c>
      <c r="E304" s="1641" t="n"/>
      <c r="F304" s="1642" t="n"/>
      <c r="G304" s="1642" t="n"/>
      <c r="H304" s="1642" t="n"/>
      <c r="I304" s="1642" t="n"/>
      <c r="J304" s="1642" t="n"/>
      <c r="K304" s="1642" t="n"/>
      <c r="L304" s="1642" t="n"/>
      <c r="M304" s="1642" t="n"/>
      <c r="N304" s="1642" t="n"/>
      <c r="O304" s="1642" t="n"/>
      <c r="P304" s="1643" t="n"/>
      <c r="Q304" s="1656">
        <f>SUM(E304:P304)</f>
        <v/>
      </c>
      <c r="R304" s="2504" t="n"/>
      <c r="T304" s="2362" t="n"/>
      <c r="U304" s="2362" t="n"/>
      <c r="V304" s="2362" t="n"/>
      <c r="W304" s="2362" t="n"/>
      <c r="X304" s="2362" t="n"/>
    </row>
    <row customFormat="1" r="305" s="2362" spans="1:33">
      <c r="A305" s="2657" t="n"/>
      <c r="B305" s="2656" t="s">
        <v>262</v>
      </c>
      <c r="E305" s="1641">
        <f>E303-E304</f>
        <v/>
      </c>
      <c r="F305" s="1642">
        <f>F303-F304</f>
        <v/>
      </c>
      <c r="G305" s="1642">
        <f>G303-G304</f>
        <v/>
      </c>
      <c r="H305" s="1642">
        <f>H303-H304</f>
        <v/>
      </c>
      <c r="I305" s="1642">
        <f>I303-I304</f>
        <v/>
      </c>
      <c r="J305" s="1642">
        <f>J303-J304</f>
        <v/>
      </c>
      <c r="K305" s="1642">
        <f>K303-K304</f>
        <v/>
      </c>
      <c r="L305" s="1642">
        <f>L303-L304</f>
        <v/>
      </c>
      <c r="M305" s="1642">
        <f>M303-M304</f>
        <v/>
      </c>
      <c r="N305" s="1642">
        <f>N303-N304</f>
        <v/>
      </c>
      <c r="O305" s="1642">
        <f>O303-O304</f>
        <v/>
      </c>
      <c r="P305" s="1643">
        <f>P303-P304</f>
        <v/>
      </c>
      <c r="Q305" s="1644">
        <f>SUM(E305:P305)</f>
        <v/>
      </c>
      <c r="R305" s="224" t="n"/>
      <c r="S305" s="2505" t="n"/>
      <c r="T305" s="2505" t="n"/>
      <c r="U305" s="2362" t="n"/>
      <c r="V305" s="2362" t="n"/>
      <c r="W305" s="2362" t="n"/>
      <c r="X305" s="2362" t="n"/>
    </row>
    <row customFormat="1" r="306" s="2362" spans="1:33">
      <c r="A306" s="2658" t="n"/>
      <c r="B306" s="2628" t="n"/>
      <c r="C306" s="2629" t="n"/>
      <c r="D306" s="2573" t="s">
        <v>203</v>
      </c>
      <c r="E306" s="8" t="n">
        <v>5</v>
      </c>
      <c r="F306" s="8" t="n">
        <v>5</v>
      </c>
      <c r="G306" s="8" t="n">
        <v>5</v>
      </c>
      <c r="H306" s="8" t="n">
        <v>5</v>
      </c>
      <c r="I306" s="8" t="n">
        <v>5</v>
      </c>
      <c r="J306" s="8" t="n">
        <v>5</v>
      </c>
      <c r="K306" s="8" t="n">
        <v>5</v>
      </c>
      <c r="L306" s="8" t="n">
        <v>5</v>
      </c>
      <c r="M306" s="8" t="n">
        <v>5</v>
      </c>
      <c r="N306" s="8" t="n">
        <v>5</v>
      </c>
      <c r="O306" s="8" t="n">
        <v>5</v>
      </c>
      <c r="P306" s="8" t="n">
        <v>5</v>
      </c>
      <c r="Q306" s="241">
        <f>SUM(E306:P306)</f>
        <v/>
      </c>
      <c r="R306" s="224" t="n"/>
      <c r="S306" s="2505" t="n"/>
      <c r="T306" s="2505" t="n"/>
      <c r="U306" s="2362" t="n"/>
      <c r="V306" s="2362" t="n"/>
      <c r="W306" s="2362" t="n"/>
      <c r="X306" s="2362" t="n"/>
    </row>
    <row customFormat="1" customHeight="1" ht="15.75" outlineLevel="1" r="307" s="2362" spans="1:33">
      <c r="A307" s="2659" t="s">
        <v>274</v>
      </c>
      <c r="B307" s="2634" t="n"/>
      <c r="C307" s="246" t="s">
        <v>243</v>
      </c>
      <c r="D307" s="2635" t="n"/>
      <c r="E307" s="229" t="n"/>
      <c r="F307" s="228" t="n"/>
      <c r="G307" s="228" t="n"/>
      <c r="H307" s="228" t="n"/>
      <c r="I307" s="228" t="n"/>
      <c r="J307" s="228" t="n"/>
      <c r="K307" s="228" t="n"/>
      <c r="L307" s="228" t="n"/>
      <c r="M307" s="399" t="n"/>
      <c r="N307" s="399" t="n"/>
      <c r="O307" s="399" t="n"/>
      <c r="P307" s="400" t="n"/>
      <c r="Q307" s="256">
        <f>SUM(E307:P307)</f>
        <v/>
      </c>
      <c r="R307" s="2504" t="n"/>
      <c r="S307" s="2505" t="n"/>
      <c r="T307" s="2505" t="n"/>
      <c r="U307" s="2362" t="n"/>
      <c r="V307" s="2362" t="n"/>
      <c r="W307" s="2362" t="n"/>
      <c r="X307" s="2362" t="n"/>
    </row>
    <row customFormat="1" customHeight="1" ht="18" outlineLevel="1" r="308" s="2362" spans="1:33">
      <c r="A308" s="2636" t="s">
        <v>275</v>
      </c>
      <c r="B308" s="2637" t="n"/>
      <c r="C308" s="260" t="s">
        <v>245</v>
      </c>
      <c r="D308" s="2638" t="n"/>
      <c r="E308" s="244" t="n"/>
      <c r="F308" s="243" t="n"/>
      <c r="G308" s="243" t="n"/>
      <c r="H308" s="243" t="n"/>
      <c r="I308" s="243" t="n"/>
      <c r="J308" s="243" t="n"/>
      <c r="K308" s="243" t="n"/>
      <c r="L308" s="243" t="n"/>
      <c r="M308" s="243" t="n"/>
      <c r="N308" s="243" t="n"/>
      <c r="O308" s="243" t="n"/>
      <c r="P308" s="402" t="n"/>
      <c r="Q308" s="242">
        <f>SUM(E308:P308)</f>
        <v/>
      </c>
      <c r="R308" s="2504" t="n"/>
      <c r="S308" s="2505" t="n"/>
      <c r="T308" s="2505" t="n"/>
      <c r="U308" s="2362" t="n"/>
      <c r="V308" s="2362" t="n"/>
      <c r="W308" s="2362" t="n"/>
      <c r="X308" s="2362" t="n"/>
    </row>
    <row customFormat="1" customHeight="1" ht="15.75" outlineLevel="1" r="309" s="2362" spans="1:33">
      <c r="A309" s="2633" t="n"/>
      <c r="B309" s="2639" t="s">
        <v>246</v>
      </c>
      <c r="C309" s="258" t="n"/>
      <c r="D309" s="2638" t="n"/>
      <c r="E309" s="1641">
        <f>SUM(E308)</f>
        <v/>
      </c>
      <c r="F309" s="1642">
        <f>SUM(F308)</f>
        <v/>
      </c>
      <c r="G309" s="1642">
        <f>SUM(G308)</f>
        <v/>
      </c>
      <c r="H309" s="1642">
        <f>SUM(H308)</f>
        <v/>
      </c>
      <c r="I309" s="1642">
        <f>SUM(I308)</f>
        <v/>
      </c>
      <c r="J309" s="1642">
        <f>SUM(J308)</f>
        <v/>
      </c>
      <c r="K309" s="1642">
        <f>SUM(K308)</f>
        <v/>
      </c>
      <c r="L309" s="1642">
        <f>SUM(L308)</f>
        <v/>
      </c>
      <c r="M309" s="1642">
        <f>SUM(M308)</f>
        <v/>
      </c>
      <c r="N309" s="1642">
        <f>SUM(N308)</f>
        <v/>
      </c>
      <c r="O309" s="1642">
        <f>SUM(O308)</f>
        <v/>
      </c>
      <c r="P309" s="1643">
        <f>SUM(P308)</f>
        <v/>
      </c>
      <c r="Q309" s="1644">
        <f>SUM(E309:P309)</f>
        <v/>
      </c>
      <c r="R309" s="2504" t="n"/>
      <c r="S309" s="2505" t="n"/>
      <c r="T309" s="2505" t="n"/>
      <c r="U309" s="2362" t="n"/>
      <c r="V309" s="2362" t="n"/>
      <c r="W309" s="2362" t="n"/>
      <c r="X309" s="2362" t="n"/>
    </row>
    <row customFormat="1" customHeight="1" ht="15.75" outlineLevel="1" r="310" s="2362" spans="1:33">
      <c r="A310" s="2633" t="n"/>
      <c r="B310" s="2640" t="s">
        <v>247</v>
      </c>
      <c r="C310" s="1646" t="n"/>
      <c r="D310" s="2641" t="n"/>
      <c r="E310" s="1641" t="n"/>
      <c r="F310" s="1642" t="n"/>
      <c r="G310" s="1642" t="n"/>
      <c r="H310" s="1642" t="n"/>
      <c r="I310" s="1642" t="n"/>
      <c r="J310" s="1642" t="n"/>
      <c r="K310" s="1642" t="n"/>
      <c r="L310" s="1642" t="n"/>
      <c r="M310" s="1642" t="n"/>
      <c r="N310" s="1642" t="n"/>
      <c r="O310" s="1642" t="n"/>
      <c r="P310" s="1643" t="n"/>
      <c r="Q310" s="1644">
        <f>SUM(E310:P310)</f>
        <v/>
      </c>
      <c r="R310" s="2504" t="n"/>
      <c r="S310" s="2505" t="n"/>
      <c r="T310" s="2505" t="n"/>
      <c r="U310" s="2362" t="n"/>
      <c r="V310" s="2362" t="n"/>
      <c r="W310" s="2362" t="n"/>
      <c r="X310" s="2362" t="n"/>
    </row>
    <row customFormat="1" customHeight="1" ht="15.75" outlineLevel="1" r="311" s="2362" spans="1:33">
      <c r="A311" s="2642" t="n"/>
      <c r="B311" s="2640" t="s">
        <v>248</v>
      </c>
      <c r="C311" s="1646" t="n"/>
      <c r="D311" s="2641" t="n"/>
      <c r="E311" s="229">
        <f>E309-E310</f>
        <v/>
      </c>
      <c r="F311" s="228">
        <f>F309-F310</f>
        <v/>
      </c>
      <c r="G311" s="228">
        <f>G309-G310</f>
        <v/>
      </c>
      <c r="H311" s="228">
        <f>H309-H310</f>
        <v/>
      </c>
      <c r="I311" s="228">
        <f>I309-I310</f>
        <v/>
      </c>
      <c r="J311" s="228">
        <f>J309-J310</f>
        <v/>
      </c>
      <c r="K311" s="228">
        <f>K309-K310</f>
        <v/>
      </c>
      <c r="L311" s="228">
        <f>L309-L310</f>
        <v/>
      </c>
      <c r="M311" s="228">
        <f>M309-M310</f>
        <v/>
      </c>
      <c r="N311" s="228">
        <f>N309-N310</f>
        <v/>
      </c>
      <c r="O311" s="228">
        <f>O309-O310</f>
        <v/>
      </c>
      <c r="P311" s="403">
        <f>P309-P310</f>
        <v/>
      </c>
      <c r="Q311" s="256">
        <f>SUM(E311:P311)</f>
        <v/>
      </c>
      <c r="R311" s="2504" t="n"/>
      <c r="S311" s="2505" t="n"/>
      <c r="T311" s="2505" t="n"/>
      <c r="U311" s="2362" t="n"/>
      <c r="V311" s="2362" t="n"/>
      <c r="W311" s="2362" t="n"/>
      <c r="X311" s="2362" t="n"/>
    </row>
    <row customFormat="1" customHeight="1" ht="15.75" outlineLevel="1" r="312" s="2362" spans="1:33">
      <c r="A312" s="2642" t="n"/>
      <c r="B312" s="2643" t="n"/>
      <c r="C312" s="1704" t="n"/>
      <c r="D312" s="2644" t="s">
        <v>249</v>
      </c>
      <c r="E312" s="1706" t="n"/>
      <c r="F312" s="1648" t="n"/>
      <c r="G312" s="1648" t="n"/>
      <c r="H312" s="1648" t="n"/>
      <c r="I312" s="1648" t="n"/>
      <c r="J312" s="1648" t="n"/>
      <c r="K312" s="1648" t="n"/>
      <c r="L312" s="1648" t="n"/>
      <c r="M312" s="1648" t="n"/>
      <c r="N312" s="1648" t="n"/>
      <c r="O312" s="1648" t="n"/>
      <c r="P312" s="1649" t="n"/>
      <c r="Q312" s="1707">
        <f>SUM(E312:P312)</f>
        <v/>
      </c>
      <c r="R312" s="2504" t="n"/>
      <c r="S312" s="2505" t="n"/>
      <c r="T312" s="2582" t="n"/>
      <c r="U312" s="2362" t="n"/>
      <c r="V312" s="2362" t="n"/>
      <c r="W312" s="2362" t="n"/>
      <c r="X312" s="2362" t="n"/>
    </row>
    <row customFormat="1" customHeight="1" ht="15.75" outlineLevel="1" r="313" s="2362" spans="1:33">
      <c r="A313" s="2642" t="n"/>
      <c r="B313" s="2634" t="n"/>
      <c r="C313" s="246" t="n"/>
      <c r="D313" s="2637" t="s">
        <v>250</v>
      </c>
      <c r="E313" s="244" t="n"/>
      <c r="F313" s="243" t="n"/>
      <c r="G313" s="243" t="n"/>
      <c r="H313" s="243" t="n"/>
      <c r="I313" s="243" t="n"/>
      <c r="J313" s="243" t="n"/>
      <c r="K313" s="243" t="n"/>
      <c r="L313" s="243" t="n"/>
      <c r="M313" s="243" t="n"/>
      <c r="N313" s="243" t="n"/>
      <c r="O313" s="243" t="n"/>
      <c r="P313" s="402" t="n"/>
      <c r="Q313" s="242">
        <f>SUM(E313:P313)</f>
        <v/>
      </c>
      <c r="R313" s="2504" t="n"/>
      <c r="S313" s="2505" t="n"/>
      <c r="T313" s="2505" t="n"/>
      <c r="U313" s="2362" t="n"/>
      <c r="V313" s="2362" t="n"/>
      <c r="W313" s="2362" t="n"/>
      <c r="X313" s="2362" t="n"/>
    </row>
    <row customFormat="1" customHeight="1" ht="15.75" outlineLevel="1" r="314" s="2362" spans="1:33">
      <c r="A314" s="2642" t="n"/>
      <c r="B314" s="2634" t="n"/>
      <c r="C314" s="236" t="s">
        <v>251</v>
      </c>
      <c r="D314" s="2641" t="n"/>
      <c r="E314" s="1641">
        <f>SUM(E312:E313)</f>
        <v/>
      </c>
      <c r="F314" s="1642">
        <f>SUM(F312:F313)</f>
        <v/>
      </c>
      <c r="G314" s="1642">
        <f>SUM(G312:G313)</f>
        <v/>
      </c>
      <c r="H314" s="1642">
        <f>SUM(H312:H313)</f>
        <v/>
      </c>
      <c r="I314" s="1642">
        <f>SUM(I312:I313)</f>
        <v/>
      </c>
      <c r="J314" s="1642">
        <f>SUM(J312:J313)</f>
        <v/>
      </c>
      <c r="K314" s="1642">
        <f>SUM(K312:K313)</f>
        <v/>
      </c>
      <c r="L314" s="1642">
        <f>SUM(L312:L313)</f>
        <v/>
      </c>
      <c r="M314" s="1642">
        <f>SUM(M312:M313)</f>
        <v/>
      </c>
      <c r="N314" s="1642">
        <f>SUM(N312:N313)</f>
        <v/>
      </c>
      <c r="O314" s="1642">
        <f>SUM(O312:O313)</f>
        <v/>
      </c>
      <c r="P314" s="1643">
        <f>SUM(P312:P313)</f>
        <v/>
      </c>
      <c r="Q314" s="242">
        <f>SUM(E314:P314)</f>
        <v/>
      </c>
      <c r="R314" s="2504" t="n"/>
      <c r="S314" s="2505" t="n"/>
      <c r="T314" s="2505" t="n"/>
      <c r="U314" s="2362" t="n"/>
      <c r="V314" s="2362" t="n"/>
      <c r="W314" s="2362" t="n"/>
      <c r="X314" s="2362" t="n"/>
    </row>
    <row customFormat="1" customHeight="1" ht="15.75" outlineLevel="1" r="315" s="2362" spans="1:33">
      <c r="A315" s="2642" t="n"/>
      <c r="B315" s="2634" t="n"/>
      <c r="C315" s="1704" t="n"/>
      <c r="D315" s="2583" t="s">
        <v>187</v>
      </c>
      <c r="E315" s="1327">
        <f>E413-E414</f>
        <v/>
      </c>
      <c r="F315" s="1327">
        <f>F413-F414</f>
        <v/>
      </c>
      <c r="G315" s="1327">
        <f>G413-G414</f>
        <v/>
      </c>
      <c r="H315" s="1327">
        <f>H413-H414</f>
        <v/>
      </c>
      <c r="I315" s="1327">
        <f>I413-I414</f>
        <v/>
      </c>
      <c r="J315" s="1327">
        <f>J413-J414</f>
        <v/>
      </c>
      <c r="K315" s="1327">
        <f>K413-K414</f>
        <v/>
      </c>
      <c r="L315" s="1327">
        <f>L413-L414</f>
        <v/>
      </c>
      <c r="M315" s="1327">
        <f>M413-M414</f>
        <v/>
      </c>
      <c r="N315" s="1327">
        <f>N413-N414</f>
        <v/>
      </c>
      <c r="O315" s="1327">
        <f>O413-O414</f>
        <v/>
      </c>
      <c r="P315" s="1327">
        <f>P413-P414</f>
        <v/>
      </c>
      <c r="Q315" s="241">
        <f>SUM(E315:P315)</f>
        <v/>
      </c>
      <c r="R315" s="2527">
        <f>'[6]FY18 CFG'!Q315</f>
        <v/>
      </c>
      <c r="S315" s="2544" t="n"/>
      <c r="T315" s="2505" t="n"/>
      <c r="U315" s="2362" t="n"/>
      <c r="V315" s="2538">
        <f>Q315-R315</f>
        <v/>
      </c>
      <c r="W315" s="2538" t="n"/>
      <c r="X315" s="2377" t="n"/>
    </row>
    <row customFormat="1" customHeight="1" ht="15.75" outlineLevel="1" r="316" s="2362" spans="1:33">
      <c r="A316" s="2642" t="n"/>
      <c r="B316" s="2634" t="n"/>
      <c r="C316" s="246" t="n"/>
      <c r="D316" s="2660" t="s">
        <v>189</v>
      </c>
      <c r="E316" s="749" t="n"/>
      <c r="F316" s="428" t="n"/>
      <c r="G316" s="428" t="n"/>
      <c r="H316" s="370" t="n"/>
      <c r="I316" s="428" t="n"/>
      <c r="J316" s="428" t="n"/>
      <c r="K316" s="428" t="n"/>
      <c r="L316" s="428" t="n"/>
      <c r="M316" s="428" t="n"/>
      <c r="N316" s="428" t="n"/>
      <c r="O316" s="428" t="n"/>
      <c r="P316" s="429" t="n"/>
      <c r="Q316" s="241">
        <f>SUM(E316:P316)</f>
        <v/>
      </c>
      <c r="R316" s="2504" t="n"/>
      <c r="S316" s="2505" t="n"/>
      <c r="T316" s="2505" t="n"/>
      <c r="U316" s="2362" t="n"/>
      <c r="V316" s="2538" t="n"/>
      <c r="W316" s="2538" t="n"/>
      <c r="X316" s="2377" t="n"/>
    </row>
    <row customFormat="1" customHeight="1" ht="15.75" outlineLevel="1" r="317" s="2362" spans="1:33">
      <c r="A317" s="2645" t="n"/>
      <c r="B317" s="2634" t="n"/>
      <c r="C317" s="246" t="n"/>
      <c r="D317" s="2660" t="s">
        <v>252</v>
      </c>
      <c r="E317" s="369" t="n"/>
      <c r="F317" s="370" t="n"/>
      <c r="G317" s="370" t="n"/>
      <c r="H317" s="428" t="n"/>
      <c r="I317" s="370" t="n"/>
      <c r="J317" s="370" t="n"/>
      <c r="K317" s="370" t="n"/>
      <c r="L317" s="370" t="n"/>
      <c r="M317" s="370" t="n"/>
      <c r="N317" s="370" t="n"/>
      <c r="O317" s="370" t="n"/>
      <c r="P317" s="371" t="n"/>
      <c r="Q317" s="241">
        <f>SUM(E317:P317)</f>
        <v/>
      </c>
      <c r="R317" s="2504" t="n"/>
      <c r="S317" s="2505" t="n"/>
      <c r="T317" s="2505" t="n"/>
      <c r="U317" s="2362" t="n"/>
      <c r="V317" s="2538" t="n"/>
      <c r="W317" s="2538" t="n"/>
      <c r="X317" s="2377" t="n"/>
    </row>
    <row customFormat="1" outlineLevel="1" r="318" s="2362" spans="1:33">
      <c r="A318" s="2646" t="n"/>
      <c r="B318" s="2634" t="n"/>
      <c r="C318" s="246" t="n"/>
      <c r="D318" s="2660" t="s">
        <v>158</v>
      </c>
      <c r="E318" s="369" t="n"/>
      <c r="F318" s="370" t="n"/>
      <c r="G318" s="370" t="n"/>
      <c r="H318" s="428" t="n"/>
      <c r="I318" s="428" t="n"/>
      <c r="J318" s="428" t="n"/>
      <c r="K318" s="428" t="n"/>
      <c r="L318" s="428" t="n"/>
      <c r="M318" s="428" t="n"/>
      <c r="N318" s="428" t="n"/>
      <c r="O318" s="428" t="n"/>
      <c r="P318" s="429" t="n"/>
      <c r="Q318" s="241">
        <f>SUM(E318:P318)</f>
        <v/>
      </c>
      <c r="R318" s="2504" t="n"/>
      <c r="S318" s="2505" t="n"/>
      <c r="T318" s="2505" t="n"/>
      <c r="U318" s="2362" t="n"/>
      <c r="V318" s="2538" t="n"/>
      <c r="W318" s="2538" t="n"/>
      <c r="X318" s="2377" t="n"/>
    </row>
    <row customFormat="1" customHeight="1" ht="15.75" outlineLevel="1" r="319" s="2362" spans="1:33">
      <c r="A319" s="2645" t="n"/>
      <c r="B319" s="2634" t="n"/>
      <c r="C319" s="246" t="n"/>
      <c r="D319" s="2660" t="s">
        <v>192</v>
      </c>
      <c r="E319" s="369" t="n"/>
      <c r="F319" s="370" t="n"/>
      <c r="G319" s="428" t="n"/>
      <c r="H319" s="428" t="n"/>
      <c r="I319" s="428" t="n"/>
      <c r="J319" s="428" t="n"/>
      <c r="K319" s="428" t="n"/>
      <c r="L319" s="428" t="n"/>
      <c r="M319" s="428" t="n"/>
      <c r="N319" s="428" t="n"/>
      <c r="O319" s="428" t="n"/>
      <c r="P319" s="429" t="n"/>
      <c r="Q319" s="241">
        <f>SUM(E319:P319)</f>
        <v/>
      </c>
      <c r="R319" s="2504" t="n"/>
      <c r="S319" s="2505" t="n"/>
      <c r="T319" s="2505" t="n"/>
      <c r="U319" s="2362" t="n"/>
      <c r="V319" s="2538" t="n"/>
      <c r="W319" s="2538" t="n"/>
      <c r="X319" s="2377" t="n"/>
    </row>
    <row customFormat="1" customHeight="1" ht="15.75" outlineLevel="1" r="320" s="2362" spans="1:33">
      <c r="A320" s="2645" t="n"/>
      <c r="B320" s="2634" t="n"/>
      <c r="C320" s="246" t="n"/>
      <c r="D320" s="2382" t="s">
        <v>193</v>
      </c>
      <c r="E320" s="8" t="n">
        <v>10847</v>
      </c>
      <c r="F320" s="9" t="n">
        <v>10800</v>
      </c>
      <c r="G320" s="1380" t="n">
        <v>10888</v>
      </c>
      <c r="H320" s="1380" t="n">
        <v>10800</v>
      </c>
      <c r="I320" s="1380" t="n">
        <v>13800</v>
      </c>
      <c r="J320" s="1380" t="n">
        <v>13800</v>
      </c>
      <c r="K320" s="1380" t="n">
        <v>13800</v>
      </c>
      <c r="L320" s="1380" t="n">
        <v>13800</v>
      </c>
      <c r="M320" s="1380" t="n">
        <v>13800</v>
      </c>
      <c r="N320" s="1380" t="n">
        <v>13800</v>
      </c>
      <c r="O320" s="1380" t="n">
        <v>13800</v>
      </c>
      <c r="P320" s="385" t="n">
        <v>13800</v>
      </c>
      <c r="Q320" s="241">
        <f>SUM(E320:P320)</f>
        <v/>
      </c>
      <c r="R320" s="2552" t="n"/>
      <c r="S320" s="2505" t="n"/>
      <c r="T320" s="2505" t="n"/>
      <c r="U320" s="2362" t="n"/>
      <c r="V320" s="2538" t="n"/>
      <c r="W320" s="2538" t="n"/>
      <c r="X320" s="2377" t="n"/>
    </row>
    <row customFormat="1" customHeight="1" ht="15.75" outlineLevel="1" r="321" s="2362" spans="1:33">
      <c r="A321" s="2645" t="n"/>
      <c r="B321" s="2634" t="n"/>
      <c r="C321" s="246" t="n"/>
      <c r="D321" s="2382" t="s">
        <v>213</v>
      </c>
      <c r="E321" s="8" t="n">
        <v>13441.41</v>
      </c>
      <c r="F321" s="9" t="n">
        <v>8107.780000000001</v>
      </c>
      <c r="G321" s="1380">
        <f>13735.57-12587.57</f>
        <v/>
      </c>
      <c r="H321" s="1380" t="n">
        <v>5777.03</v>
      </c>
      <c r="I321" s="1380" t="n">
        <v>17100</v>
      </c>
      <c r="J321" s="1380" t="n">
        <v>17100</v>
      </c>
      <c r="K321" s="1380" t="n">
        <v>17100</v>
      </c>
      <c r="L321" s="1380" t="n">
        <v>17100</v>
      </c>
      <c r="M321" s="1380" t="n">
        <v>17100</v>
      </c>
      <c r="N321" s="1380" t="n">
        <v>17100</v>
      </c>
      <c r="O321" s="1380" t="n">
        <v>17100</v>
      </c>
      <c r="P321" s="385" t="n">
        <v>17100</v>
      </c>
      <c r="Q321" s="241">
        <f>SUM(E321:P321)</f>
        <v/>
      </c>
      <c r="R321" s="2504" t="n"/>
      <c r="S321" s="2505" t="n"/>
      <c r="T321" s="2505" t="n"/>
      <c r="U321" s="2362" t="n"/>
      <c r="V321" s="2538" t="n"/>
      <c r="W321" s="2538" t="n"/>
      <c r="X321" s="2377" t="n"/>
    </row>
    <row customFormat="1" customHeight="1" ht="15.75" outlineLevel="1" r="322" s="2362" spans="1:33">
      <c r="A322" s="2648" t="n"/>
      <c r="B322" s="2634" t="n"/>
      <c r="C322" s="246" t="n"/>
      <c r="D322" s="2660" t="s">
        <v>253</v>
      </c>
      <c r="E322" s="749" t="n"/>
      <c r="F322" s="428" t="n"/>
      <c r="G322" s="428" t="n"/>
      <c r="H322" s="428" t="n"/>
      <c r="I322" s="428" t="n"/>
      <c r="J322" s="428" t="n"/>
      <c r="K322" s="428" t="n"/>
      <c r="L322" s="428" t="n"/>
      <c r="M322" s="428" t="n"/>
      <c r="N322" s="428" t="n"/>
      <c r="O322" s="428" t="n"/>
      <c r="P322" s="429" t="n"/>
      <c r="Q322" s="241">
        <f>SUM(E322:P322)</f>
        <v/>
      </c>
      <c r="R322" s="2504" t="n"/>
      <c r="S322" s="2505" t="n"/>
      <c r="T322" s="2505" t="n"/>
      <c r="U322" s="2362" t="n"/>
      <c r="V322" s="2538" t="n"/>
      <c r="W322" s="2538" t="n"/>
      <c r="X322" s="2377" t="n"/>
    </row>
    <row customFormat="1" customHeight="1" ht="15.75" outlineLevel="1" r="323" s="2362" spans="1:33">
      <c r="A323" s="2648" t="n"/>
      <c r="B323" s="2634" t="n"/>
      <c r="C323" s="246" t="n"/>
      <c r="D323" s="2660" t="s">
        <v>254</v>
      </c>
      <c r="E323" s="749" t="n"/>
      <c r="F323" s="428" t="n"/>
      <c r="G323" s="428" t="n"/>
      <c r="H323" s="428" t="n"/>
      <c r="I323" s="428" t="n"/>
      <c r="J323" s="428" t="n"/>
      <c r="K323" s="428" t="n"/>
      <c r="L323" s="428" t="n"/>
      <c r="M323" s="428" t="n"/>
      <c r="N323" s="428" t="n"/>
      <c r="O323" s="428" t="n"/>
      <c r="P323" s="429" t="n"/>
      <c r="Q323" s="241">
        <f>SUM(E323:P323)</f>
        <v/>
      </c>
      <c r="R323" s="2504" t="n"/>
      <c r="S323" s="2505" t="n"/>
      <c r="T323" s="2505" t="n"/>
      <c r="U323" s="2362" t="n"/>
      <c r="V323" s="2538" t="n"/>
      <c r="W323" s="2538" t="n"/>
      <c r="X323" s="2377" t="n"/>
    </row>
    <row customFormat="1" customHeight="1" ht="15.75" outlineLevel="1" r="324" s="2362" spans="1:33">
      <c r="A324" s="2648" t="n"/>
      <c r="B324" s="2634" t="n"/>
      <c r="C324" s="246" t="n"/>
      <c r="D324" s="2660" t="s">
        <v>255</v>
      </c>
      <c r="E324" s="369" t="n"/>
      <c r="F324" s="370" t="n"/>
      <c r="G324" s="370" t="n"/>
      <c r="H324" s="370" t="n"/>
      <c r="I324" s="370" t="n"/>
      <c r="J324" s="370" t="n"/>
      <c r="K324" s="370" t="n"/>
      <c r="L324" s="370" t="n"/>
      <c r="M324" s="370" t="n"/>
      <c r="N324" s="370" t="n"/>
      <c r="O324" s="370" t="n"/>
      <c r="P324" s="371" t="n"/>
      <c r="Q324" s="241">
        <f>SUM(E324:P324)</f>
        <v/>
      </c>
      <c r="R324" s="2504" t="n"/>
      <c r="S324" s="2505" t="n"/>
      <c r="T324" s="2505" t="n"/>
      <c r="U324" s="2362" t="n"/>
      <c r="V324" s="2538" t="n"/>
      <c r="W324" s="2538" t="n"/>
      <c r="X324" s="2377" t="n"/>
    </row>
    <row customFormat="1" outlineLevel="1" r="325" s="2362" spans="1:33">
      <c r="A325" s="2647" t="n"/>
      <c r="B325" s="2634" t="n"/>
      <c r="C325" s="404" t="n"/>
      <c r="D325" s="2661" t="s">
        <v>256</v>
      </c>
      <c r="E325" s="751" t="n"/>
      <c r="F325" s="824" t="n"/>
      <c r="G325" s="824" t="n"/>
      <c r="H325" s="825" t="n"/>
      <c r="I325" s="825" t="n"/>
      <c r="J325" s="825" t="n"/>
      <c r="K325" s="825" t="n"/>
      <c r="L325" s="825" t="n"/>
      <c r="M325" s="825" t="n"/>
      <c r="N325" s="825" t="n"/>
      <c r="O325" s="825" t="n"/>
      <c r="P325" s="826" t="n"/>
      <c r="Q325" s="232">
        <f>SUM(E325:P325)</f>
        <v/>
      </c>
      <c r="R325" s="2555" t="n"/>
      <c r="S325" s="2505" t="n"/>
      <c r="T325" s="2505" t="n"/>
      <c r="U325" s="2362" t="n"/>
      <c r="V325" s="2538" t="n"/>
      <c r="W325" s="2538" t="n"/>
      <c r="X325" s="2377" t="n"/>
    </row>
    <row customFormat="1" customHeight="1" ht="15.75" outlineLevel="1" r="326" s="2362" spans="1:33">
      <c r="A326" s="2649" t="n"/>
      <c r="B326" s="2634" t="n"/>
      <c r="C326" s="246" t="n"/>
      <c r="D326" s="2556" t="s">
        <v>257</v>
      </c>
      <c r="E326" s="234" t="n"/>
      <c r="F326" s="233" t="n"/>
      <c r="G326" s="233" t="n"/>
      <c r="H326" s="233" t="n"/>
      <c r="I326" s="233" t="n"/>
      <c r="J326" s="233" t="n"/>
      <c r="K326" s="233" t="n"/>
      <c r="L326" s="233" t="n"/>
      <c r="M326" s="233" t="n"/>
      <c r="N326" s="233" t="n"/>
      <c r="O326" s="233" t="n"/>
      <c r="P326" s="380" t="n"/>
      <c r="Q326" s="232">
        <f>SUM(E326:P326)</f>
        <v/>
      </c>
      <c r="R326" s="2504" t="n"/>
      <c r="S326" s="2505" t="n"/>
      <c r="T326" s="2505" t="n"/>
      <c r="U326" s="2362" t="n"/>
      <c r="V326" s="2362" t="n"/>
      <c r="W326" s="2362" t="n"/>
      <c r="X326" s="2362" t="n"/>
    </row>
    <row customFormat="1" customHeight="1" ht="15.75" outlineLevel="1" r="327" s="2362" spans="1:33">
      <c r="A327" s="2649" t="n"/>
      <c r="B327" s="2634" t="n"/>
      <c r="C327" s="246" t="n"/>
      <c r="D327" s="2556" t="s">
        <v>258</v>
      </c>
      <c r="E327" s="234" t="n"/>
      <c r="F327" s="233" t="n"/>
      <c r="G327" s="233" t="n"/>
      <c r="H327" s="233" t="n"/>
      <c r="I327" s="233" t="n"/>
      <c r="J327" s="233" t="n"/>
      <c r="K327" s="233" t="n"/>
      <c r="L327" s="233" t="n"/>
      <c r="M327" s="233" t="n"/>
      <c r="N327" s="233" t="n"/>
      <c r="O327" s="233" t="n"/>
      <c r="P327" s="380" t="n"/>
      <c r="Q327" s="232">
        <f>SUM(E327:P327)</f>
        <v/>
      </c>
      <c r="R327" s="2504" t="n"/>
      <c r="S327" s="2505" t="n"/>
      <c r="T327" s="2505" t="n"/>
      <c r="U327" s="2362" t="n"/>
      <c r="V327" s="2362" t="n"/>
      <c r="W327" s="2362" t="n"/>
      <c r="X327" s="2362" t="n"/>
    </row>
    <row customFormat="1" customHeight="1" ht="15.75" outlineLevel="1" r="328" s="2362" spans="1:33">
      <c r="A328" s="2649" t="n"/>
      <c r="B328" s="2634" t="n"/>
      <c r="C328" s="236" t="s">
        <v>214</v>
      </c>
      <c r="D328" s="2638" t="n"/>
      <c r="E328" s="244">
        <f>SUM(E315:E327)</f>
        <v/>
      </c>
      <c r="F328" s="243">
        <f>SUM(F315:F327)</f>
        <v/>
      </c>
      <c r="G328" s="243">
        <f>SUM(G315:G327)</f>
        <v/>
      </c>
      <c r="H328" s="243">
        <f>SUM(H315:H327)</f>
        <v/>
      </c>
      <c r="I328" s="243">
        <f>SUM(I315:I327)</f>
        <v/>
      </c>
      <c r="J328" s="243">
        <f>SUM(J315:J327)</f>
        <v/>
      </c>
      <c r="K328" s="243">
        <f>SUM(K315:K327)</f>
        <v/>
      </c>
      <c r="L328" s="243">
        <f>SUM(L315:L327)</f>
        <v/>
      </c>
      <c r="M328" s="243">
        <f>SUM(M315:M327)</f>
        <v/>
      </c>
      <c r="N328" s="243">
        <f>SUM(N315:N327)</f>
        <v/>
      </c>
      <c r="O328" s="243">
        <f>SUM(O315:O327)</f>
        <v/>
      </c>
      <c r="P328" s="402">
        <f>SUM(P315:P327)</f>
        <v/>
      </c>
      <c r="Q328" s="242">
        <f>SUM(E328:P328)</f>
        <v/>
      </c>
      <c r="R328" s="2504" t="n"/>
      <c r="S328" s="2505" t="n"/>
      <c r="T328" s="2505" t="n"/>
      <c r="U328" s="2362" t="n"/>
      <c r="V328" s="2362" t="n"/>
      <c r="W328" s="2362" t="n"/>
      <c r="X328" s="2362" t="n"/>
    </row>
    <row customFormat="1" customHeight="1" ht="15.75" outlineLevel="1" r="329" s="2362" spans="1:33">
      <c r="A329" s="2649" t="n"/>
      <c r="B329" s="2634" t="n"/>
      <c r="C329" s="1704" t="n"/>
      <c r="D329" s="2583" t="s">
        <v>160</v>
      </c>
      <c r="E329" s="1708" t="n"/>
      <c r="F329" s="1657" t="n"/>
      <c r="G329" s="1657" t="n"/>
      <c r="H329" s="1657" t="n"/>
      <c r="I329" s="1657" t="n"/>
      <c r="J329" s="1657" t="n"/>
      <c r="K329" s="1657" t="n"/>
      <c r="L329" s="1657" t="n"/>
      <c r="M329" s="1657" t="n"/>
      <c r="N329" s="1657" t="n"/>
      <c r="O329" s="1657" t="n"/>
      <c r="P329" s="1658" t="n"/>
      <c r="Q329" s="241">
        <f>SUM(E329:P329)</f>
        <v/>
      </c>
      <c r="R329" s="2504" t="n"/>
      <c r="S329" s="2505" t="n"/>
      <c r="T329" s="2505" t="n"/>
      <c r="U329" s="2362" t="n"/>
      <c r="V329" s="2362" t="n"/>
      <c r="W329" s="2362" t="n"/>
      <c r="X329" s="2362" t="n"/>
    </row>
    <row customFormat="1" customHeight="1" ht="15.75" outlineLevel="1" r="330" s="2362" spans="1:33">
      <c r="A330" s="2649" t="n"/>
      <c r="B330" s="2634" t="n"/>
      <c r="C330" s="246" t="n"/>
      <c r="D330" s="2382" t="s">
        <v>161</v>
      </c>
      <c r="E330" s="11">
        <f>E428+E439</f>
        <v/>
      </c>
      <c r="F330" s="11">
        <f>F428+F439</f>
        <v/>
      </c>
      <c r="G330" s="11">
        <f>G428+G439</f>
        <v/>
      </c>
      <c r="H330" s="11">
        <f>H428+H439</f>
        <v/>
      </c>
      <c r="I330" s="11">
        <f>I428+I439</f>
        <v/>
      </c>
      <c r="J330" s="11">
        <f>J428+J439</f>
        <v/>
      </c>
      <c r="K330" s="11">
        <f>K428+K439</f>
        <v/>
      </c>
      <c r="L330" s="11">
        <f>L428+L439</f>
        <v/>
      </c>
      <c r="M330" s="11">
        <f>M428+M439</f>
        <v/>
      </c>
      <c r="N330" s="11">
        <f>N428+N439</f>
        <v/>
      </c>
      <c r="O330" s="11">
        <f>O428+O439</f>
        <v/>
      </c>
      <c r="P330" s="11">
        <f>P428+P439</f>
        <v/>
      </c>
      <c r="Q330" s="241">
        <f>SUM(E330:P330)</f>
        <v/>
      </c>
      <c r="R330" s="2504" t="n"/>
      <c r="S330" s="2505" t="n"/>
      <c r="T330" s="2505" t="n"/>
      <c r="U330" s="2362" t="n"/>
      <c r="V330" s="2362" t="n"/>
      <c r="W330" s="2362" t="n"/>
      <c r="X330" s="2362" t="n"/>
    </row>
    <row customFormat="1" customHeight="1" ht="15.75" outlineLevel="1" r="331" s="2362" spans="1:33">
      <c r="A331" s="2649" t="n"/>
      <c r="B331" s="2634" t="n"/>
      <c r="C331" s="240" t="n"/>
      <c r="D331" s="2650" t="s">
        <v>215</v>
      </c>
      <c r="E331" s="234">
        <f>E407*1/E339</f>
        <v/>
      </c>
      <c r="F331" s="234">
        <f>F407*1/F339</f>
        <v/>
      </c>
      <c r="G331" s="234">
        <f>G407*1/G339</f>
        <v/>
      </c>
      <c r="H331" s="234">
        <f>H407*1/H339</f>
        <v/>
      </c>
      <c r="I331" s="234">
        <f>I407*1/I339</f>
        <v/>
      </c>
      <c r="J331" s="234">
        <f>J407*1/J339</f>
        <v/>
      </c>
      <c r="K331" s="234">
        <f>K407*1/K339</f>
        <v/>
      </c>
      <c r="L331" s="234">
        <f>L407*1/L339</f>
        <v/>
      </c>
      <c r="M331" s="234">
        <f>M407*1/M339</f>
        <v/>
      </c>
      <c r="N331" s="234">
        <f>N407*1/N339</f>
        <v/>
      </c>
      <c r="O331" s="234">
        <f>O407*1/O339</f>
        <v/>
      </c>
      <c r="P331" s="234">
        <f>P407*1/P339</f>
        <v/>
      </c>
      <c r="Q331" s="232">
        <f>SUM(E331:P331)</f>
        <v/>
      </c>
      <c r="R331" s="2504" t="n"/>
      <c r="S331" s="2505" t="n"/>
      <c r="T331" s="2505" t="n"/>
      <c r="U331" s="2362" t="n"/>
      <c r="V331" s="2362" t="n"/>
      <c r="W331" s="2362" t="n"/>
      <c r="X331" s="2362" t="n"/>
    </row>
    <row customFormat="1" customHeight="1" ht="15.75" outlineLevel="1" r="332" s="2362" spans="1:33">
      <c r="A332" s="2649" t="n"/>
      <c r="B332" s="2634" t="n"/>
      <c r="C332" s="236" t="s">
        <v>217</v>
      </c>
      <c r="D332" s="2607" t="n"/>
      <c r="E332" s="234">
        <f>SUM(E329:E331)</f>
        <v/>
      </c>
      <c r="F332" s="233">
        <f>SUM(F329:F331)</f>
        <v/>
      </c>
      <c r="G332" s="233">
        <f>SUM(G329:G331)</f>
        <v/>
      </c>
      <c r="H332" s="233">
        <f>SUM(H329:H331)</f>
        <v/>
      </c>
      <c r="I332" s="233">
        <f>SUM(I329:I331)</f>
        <v/>
      </c>
      <c r="J332" s="233">
        <f>SUM(J329:J331)</f>
        <v/>
      </c>
      <c r="K332" s="233">
        <f>SUM(K329:K331)</f>
        <v/>
      </c>
      <c r="L332" s="233">
        <f>SUM(L329:L331)</f>
        <v/>
      </c>
      <c r="M332" s="233">
        <f>SUM(M329:M331)</f>
        <v/>
      </c>
      <c r="N332" s="233">
        <f>SUM(N329:N331)</f>
        <v/>
      </c>
      <c r="O332" s="233">
        <f>SUM(O329:O331)</f>
        <v/>
      </c>
      <c r="P332" s="380">
        <f>SUM(P329:P331)</f>
        <v/>
      </c>
      <c r="Q332" s="232">
        <f>SUM(E332:P332)</f>
        <v/>
      </c>
      <c r="R332" s="2504" t="n"/>
      <c r="S332" s="2505" t="n"/>
      <c r="T332" s="2505" t="n"/>
      <c r="U332" s="2362" t="n"/>
      <c r="V332" s="2362" t="n"/>
      <c r="W332" s="2362" t="n"/>
      <c r="X332" s="2362" t="n"/>
    </row>
    <row customFormat="1" r="333" s="2362" spans="1:33">
      <c r="A333" s="2651" t="n"/>
      <c r="B333" s="2651" t="s">
        <v>259</v>
      </c>
      <c r="C333" s="231" t="n"/>
      <c r="D333" s="2652" t="n"/>
      <c r="E333" s="229">
        <f>SUM(E332,E328,E314)</f>
        <v/>
      </c>
      <c r="F333" s="228">
        <f>SUM(F332,F328,F314)</f>
        <v/>
      </c>
      <c r="G333" s="228">
        <f>SUM(G332,G328,G314)</f>
        <v/>
      </c>
      <c r="H333" s="228">
        <f>SUM(H332,H328,H314)</f>
        <v/>
      </c>
      <c r="I333" s="228">
        <f>SUM(I332,I328,I314)</f>
        <v/>
      </c>
      <c r="J333" s="228">
        <f>SUM(J332,J328,J314)</f>
        <v/>
      </c>
      <c r="K333" s="228">
        <f>SUM(K332,K328,K314)</f>
        <v/>
      </c>
      <c r="L333" s="228">
        <f>SUM(L332,L328,L314)</f>
        <v/>
      </c>
      <c r="M333" s="228">
        <f>SUM(M332,M328,M314)</f>
        <v/>
      </c>
      <c r="N333" s="228">
        <f>SUM(N332,N328,N314)</f>
        <v/>
      </c>
      <c r="O333" s="228">
        <f>SUM(O332,O328,O314)</f>
        <v/>
      </c>
      <c r="P333" s="1649">
        <f>SUM(P332,P328,P314)</f>
        <v/>
      </c>
      <c r="Q333" s="1707">
        <f>SUM(E333:P333)</f>
        <v/>
      </c>
      <c r="R333" s="2504" t="n"/>
      <c r="S333" s="2505" t="n"/>
      <c r="T333" s="2505" t="n"/>
      <c r="U333" s="2362" t="n"/>
      <c r="V333" s="2362" t="n"/>
      <c r="W333" s="2362" t="n"/>
      <c r="X333" s="2362" t="n"/>
    </row>
    <row customFormat="1" r="334" s="2362" spans="1:33">
      <c r="A334" s="2653" t="n"/>
      <c r="B334" s="2654" t="s">
        <v>260</v>
      </c>
      <c r="C334" s="1651" t="n"/>
      <c r="D334" s="2655" t="n"/>
      <c r="E334" s="1653">
        <f>E311-E333</f>
        <v/>
      </c>
      <c r="F334" s="1654">
        <f>F311-F333</f>
        <v/>
      </c>
      <c r="G334" s="1654">
        <f>G311-G333</f>
        <v/>
      </c>
      <c r="H334" s="1654">
        <f>H311-H333</f>
        <v/>
      </c>
      <c r="I334" s="1654">
        <f>I311-I333</f>
        <v/>
      </c>
      <c r="J334" s="1654">
        <f>J311-J333</f>
        <v/>
      </c>
      <c r="K334" s="1654">
        <f>K311-K333</f>
        <v/>
      </c>
      <c r="L334" s="1654">
        <f>L311-L333</f>
        <v/>
      </c>
      <c r="M334" s="1654">
        <f>M311-M333</f>
        <v/>
      </c>
      <c r="N334" s="1654">
        <f>N311-N333</f>
        <v/>
      </c>
      <c r="O334" s="1654">
        <f>O311-O333</f>
        <v/>
      </c>
      <c r="P334" s="1655">
        <f>P311-P333</f>
        <v/>
      </c>
      <c r="Q334" s="1656">
        <f>SUM(E334:P334)</f>
        <v/>
      </c>
      <c r="R334" s="2504" t="n"/>
      <c r="S334" s="2505" t="n"/>
      <c r="T334" s="2505" t="n"/>
      <c r="U334" s="2362" t="n"/>
      <c r="V334" s="2362" t="n"/>
      <c r="W334" s="2362" t="n"/>
      <c r="X334" s="2362" t="n"/>
    </row>
    <row customFormat="1" r="335" s="2362" spans="1:33">
      <c r="A335" s="2651" t="n"/>
      <c r="B335" s="2656" t="s">
        <v>261</v>
      </c>
      <c r="E335" s="1641" t="n"/>
      <c r="F335" s="1642" t="n"/>
      <c r="G335" s="1642" t="n"/>
      <c r="H335" s="1642" t="n"/>
      <c r="I335" s="1642" t="n"/>
      <c r="J335" s="1642" t="n"/>
      <c r="K335" s="1642" t="n"/>
      <c r="L335" s="1642" t="n"/>
      <c r="M335" s="1642" t="n"/>
      <c r="N335" s="1642" t="n"/>
      <c r="O335" s="1642" t="n"/>
      <c r="P335" s="1643" t="n"/>
      <c r="Q335" s="1656">
        <f>SUM(E335:P335)</f>
        <v/>
      </c>
      <c r="R335" s="2504" t="n"/>
      <c r="S335" s="2505" t="n"/>
      <c r="T335" s="2662" t="n"/>
      <c r="U335" s="2663" t="n"/>
      <c r="V335" s="2663" t="n"/>
      <c r="W335" s="2663" t="n"/>
      <c r="X335" s="2362" t="n"/>
    </row>
    <row customFormat="1" r="336" s="2362" spans="1:33">
      <c r="A336" s="2657" t="n"/>
      <c r="B336" s="2656" t="s">
        <v>262</v>
      </c>
      <c r="E336" s="1641">
        <f>E334-E335</f>
        <v/>
      </c>
      <c r="F336" s="1642">
        <f>F334-F335</f>
        <v/>
      </c>
      <c r="G336" s="1642">
        <f>G334-G335</f>
        <v/>
      </c>
      <c r="H336" s="1642">
        <f>H334-H335</f>
        <v/>
      </c>
      <c r="I336" s="1642">
        <f>I334-I335</f>
        <v/>
      </c>
      <c r="J336" s="1642">
        <f>J334-J335</f>
        <v/>
      </c>
      <c r="K336" s="1642">
        <f>K334-K335</f>
        <v/>
      </c>
      <c r="L336" s="1642">
        <f>L334-L335</f>
        <v/>
      </c>
      <c r="M336" s="1642">
        <f>M334-M335</f>
        <v/>
      </c>
      <c r="N336" s="1642">
        <f>N334-N335</f>
        <v/>
      </c>
      <c r="O336" s="1642">
        <f>O334-O335</f>
        <v/>
      </c>
      <c r="P336" s="1643">
        <f>P334-P335</f>
        <v/>
      </c>
      <c r="Q336" s="1644">
        <f>SUM(E336:P336)</f>
        <v/>
      </c>
      <c r="R336" s="224" t="n"/>
      <c r="S336" s="2505" t="n"/>
      <c r="T336" s="2509" t="n"/>
      <c r="U336" s="2664" t="n"/>
      <c r="V336" s="2664" t="n"/>
      <c r="W336" s="2664" t="n"/>
      <c r="X336" s="2362" t="n"/>
    </row>
    <row r="337" spans="1:33">
      <c r="A337" s="2665" t="n"/>
      <c r="B337" s="2628" t="n"/>
      <c r="C337" s="2629" t="n"/>
      <c r="D337" s="2573" t="s">
        <v>203</v>
      </c>
      <c r="E337" s="54" t="n">
        <v>1</v>
      </c>
      <c r="F337" s="54" t="n">
        <v>1</v>
      </c>
      <c r="G337" s="54" t="n">
        <v>1</v>
      </c>
      <c r="H337" s="54" t="n">
        <v>1</v>
      </c>
      <c r="I337" s="54" t="n">
        <v>1</v>
      </c>
      <c r="J337" s="54" t="n">
        <v>1</v>
      </c>
      <c r="K337" s="54" t="n">
        <v>1</v>
      </c>
      <c r="L337" s="54" t="n">
        <v>1</v>
      </c>
      <c r="M337" s="54" t="n">
        <v>1</v>
      </c>
      <c r="N337" s="54" t="n">
        <v>1</v>
      </c>
      <c r="O337" s="54" t="n">
        <v>1</v>
      </c>
      <c r="P337" s="54" t="n">
        <v>1</v>
      </c>
      <c r="Q337" s="241" t="n"/>
      <c r="R337" s="224" t="n"/>
    </row>
    <row customFormat="1" r="338" s="2663" spans="1:33">
      <c r="A338" s="2663" t="n"/>
      <c r="B338" s="2666" t="n"/>
      <c r="C338" s="1106" t="n"/>
      <c r="D338" s="2666" t="s">
        <v>276</v>
      </c>
      <c r="E338" s="223">
        <f>SUM(E34,E68,E102,E136,E170,E204,E238,E272)</f>
        <v/>
      </c>
      <c r="F338" s="223">
        <f>SUM(F34,F68,F102,F136,F170,F204,F238,F272)</f>
        <v/>
      </c>
      <c r="G338" s="223">
        <f>SUM(G34,G68,G102,G136,G170,G204,G238,G272)</f>
        <v/>
      </c>
      <c r="H338" s="223">
        <f>SUM(H34,H68,H102,H136,H170,H204,H238,H272)</f>
        <v/>
      </c>
      <c r="I338" s="223">
        <f>SUM(I34,I68,I102,I136,I170,I204,I238,I272)</f>
        <v/>
      </c>
      <c r="J338" s="223">
        <f>SUM(J34,J68,J102,J136,J170,J204,J238,J272)</f>
        <v/>
      </c>
      <c r="K338" s="223">
        <f>SUM(K34,K68,K102,K136,K170,K204,K238,K272)</f>
        <v/>
      </c>
      <c r="L338" s="223">
        <f>SUM(L34,L68,L102,L136,L170,L204,L238,L272)</f>
        <v/>
      </c>
      <c r="M338" s="223">
        <f>SUM(M34,M68,M102,M136,M170,M204,M238,M272)</f>
        <v/>
      </c>
      <c r="N338" s="223">
        <f>SUM(N34,N68,N102,N136,N170,N204,N238,N272)</f>
        <v/>
      </c>
      <c r="O338" s="223">
        <f>SUM(O34,O68,O102,O136,O170,O204,O238,O272)</f>
        <v/>
      </c>
      <c r="P338" s="223">
        <f>SUM(P34,P68,P102,P136,P170,P204,P238,P272)</f>
        <v/>
      </c>
      <c r="Q338" s="241">
        <f>SUM(E338:P338)</f>
        <v/>
      </c>
      <c r="R338" s="2663" t="n"/>
      <c r="S338" s="2662" t="n"/>
      <c r="T338" s="2505" t="n"/>
      <c r="U338" s="2362" t="n"/>
      <c r="V338" s="2362" t="n"/>
      <c r="W338" s="2362" t="n"/>
      <c r="X338" s="2663" t="n"/>
      <c r="Y338" s="2663" t="n"/>
      <c r="Z338" s="2663" t="n"/>
      <c r="AA338" s="2663" t="n"/>
    </row>
    <row customFormat="1" r="339" s="2664" spans="1:33">
      <c r="A339" s="1543" t="n"/>
      <c r="B339" s="2664" t="n"/>
      <c r="C339" s="1543" t="n"/>
      <c r="D339" s="2664" t="s">
        <v>80</v>
      </c>
      <c r="E339" s="218">
        <f>SUM(E338,E306,E337)</f>
        <v/>
      </c>
      <c r="F339" s="2667">
        <f>SUM(F338,F306,F337)</f>
        <v/>
      </c>
      <c r="G339" s="2667">
        <f>SUM(G338,G306,G337)</f>
        <v/>
      </c>
      <c r="H339" s="218">
        <f>SUM(H338,H306,H337)</f>
        <v/>
      </c>
      <c r="I339" s="218">
        <f>SUM(I338,I306,I337)</f>
        <v/>
      </c>
      <c r="J339" s="218">
        <f>SUM(J338,J306,J337)</f>
        <v/>
      </c>
      <c r="K339" s="218">
        <f>SUM(K338,K306,K337)</f>
        <v/>
      </c>
      <c r="L339" s="218">
        <f>SUM(L338,L306,L337)</f>
        <v/>
      </c>
      <c r="M339" s="218">
        <f>SUM(M338,M306,M337)</f>
        <v/>
      </c>
      <c r="N339" s="218">
        <f>SUM(N338,N306,N337)</f>
        <v/>
      </c>
      <c r="O339" s="218">
        <f>SUM(O338,O306,O337)</f>
        <v/>
      </c>
      <c r="P339" s="218">
        <f>SUM(P338,P306,P337)</f>
        <v/>
      </c>
      <c r="Q339" s="241">
        <f>SUM(E339:P339)</f>
        <v/>
      </c>
      <c r="R339" s="2664" t="n"/>
      <c r="S339" s="2509" t="n"/>
      <c r="T339" s="2505" t="n"/>
      <c r="U339" s="2362" t="n"/>
      <c r="V339" s="2362" t="n"/>
      <c r="W339" s="2362" t="n"/>
      <c r="X339" s="2664" t="n"/>
      <c r="Y339" s="2664" t="n"/>
      <c r="Z339" s="2664" t="n"/>
      <c r="AA339" s="2664" t="n"/>
    </row>
    <row r="340" spans="1:33">
      <c r="I340" s="218" t="n"/>
    </row>
    <row r="341" spans="1:33">
      <c r="A341" s="2668" t="s">
        <v>277</v>
      </c>
      <c r="B341" s="2669" t="n"/>
      <c r="C341" s="405" t="s">
        <v>278</v>
      </c>
      <c r="D341" s="2670" t="s">
        <v>279</v>
      </c>
      <c r="E341" s="407" t="n">
        <v>74</v>
      </c>
      <c r="F341" s="407" t="n">
        <v>74</v>
      </c>
      <c r="G341" s="407" t="n">
        <v>72</v>
      </c>
      <c r="H341" s="407" t="n">
        <v>73</v>
      </c>
      <c r="I341" s="407" t="n">
        <v>72</v>
      </c>
      <c r="J341" s="407" t="n">
        <v>72</v>
      </c>
      <c r="K341" s="407" t="n">
        <v>72</v>
      </c>
      <c r="L341" s="407" t="n">
        <v>72</v>
      </c>
      <c r="M341" s="407" t="n">
        <v>72</v>
      </c>
      <c r="N341" s="407" t="n">
        <v>72</v>
      </c>
      <c r="O341" s="407" t="n">
        <v>72</v>
      </c>
      <c r="P341" s="407" t="n">
        <v>72</v>
      </c>
      <c r="Q341" s="1545">
        <f>SUM(E341:P341)</f>
        <v/>
      </c>
    </row>
    <row r="342" spans="1:33">
      <c r="B342" s="2669" t="n"/>
      <c r="C342" s="405" t="s">
        <v>280</v>
      </c>
      <c r="D342" s="2671" t="s">
        <v>281</v>
      </c>
      <c r="E342" s="407" t="n">
        <v>3</v>
      </c>
      <c r="F342" s="407" t="n">
        <v>3</v>
      </c>
      <c r="G342" s="407" t="n">
        <v>3</v>
      </c>
      <c r="H342" s="407" t="n">
        <v>3</v>
      </c>
      <c r="I342" s="407" t="n">
        <v>3</v>
      </c>
      <c r="J342" s="407" t="n">
        <v>3</v>
      </c>
      <c r="K342" s="407" t="n">
        <v>3</v>
      </c>
      <c r="L342" s="407" t="n">
        <v>3</v>
      </c>
      <c r="M342" s="407" t="n">
        <v>3</v>
      </c>
      <c r="N342" s="407" t="n">
        <v>3</v>
      </c>
      <c r="O342" s="407" t="n">
        <v>3</v>
      </c>
      <c r="P342" s="407" t="n">
        <v>3</v>
      </c>
      <c r="Q342" s="1545">
        <f>SUM(E342:P342)</f>
        <v/>
      </c>
    </row>
    <row r="343" spans="1:33">
      <c r="B343" s="2669" t="n"/>
      <c r="C343" s="405" t="n"/>
      <c r="D343" s="2670" t="s">
        <v>282</v>
      </c>
      <c r="E343" s="407" t="n">
        <v>2</v>
      </c>
      <c r="F343" s="407" t="n">
        <v>2</v>
      </c>
      <c r="G343" s="407" t="n">
        <v>2</v>
      </c>
      <c r="H343" s="407" t="n">
        <v>2</v>
      </c>
      <c r="I343" s="407" t="n">
        <v>2</v>
      </c>
      <c r="J343" s="407" t="n">
        <v>2</v>
      </c>
      <c r="K343" s="407" t="n">
        <v>1</v>
      </c>
      <c r="L343" s="407" t="n">
        <v>1</v>
      </c>
      <c r="M343" s="407" t="n">
        <v>1</v>
      </c>
      <c r="N343" s="407" t="n">
        <v>1</v>
      </c>
      <c r="O343" s="407" t="n">
        <v>1</v>
      </c>
      <c r="P343" s="407" t="n">
        <v>1</v>
      </c>
      <c r="Q343" s="1545">
        <f>SUM(E343:P343)</f>
        <v/>
      </c>
    </row>
    <row r="344" spans="1:33">
      <c r="B344" s="2669" t="n"/>
      <c r="C344" s="405" t="n"/>
      <c r="D344" s="2670" t="s">
        <v>283</v>
      </c>
      <c r="E344" s="407" t="n">
        <v>1</v>
      </c>
      <c r="F344" s="407" t="n">
        <v>1</v>
      </c>
      <c r="G344" s="407" t="n">
        <v>1</v>
      </c>
      <c r="H344" s="407" t="n">
        <v>1</v>
      </c>
      <c r="I344" s="407" t="n">
        <v>1</v>
      </c>
      <c r="J344" s="407" t="n">
        <v>1</v>
      </c>
      <c r="K344" s="407" t="n">
        <v>1</v>
      </c>
      <c r="L344" s="407" t="n">
        <v>1</v>
      </c>
      <c r="M344" s="407" t="n">
        <v>1</v>
      </c>
      <c r="N344" s="407" t="n">
        <v>1</v>
      </c>
      <c r="O344" s="407" t="n">
        <v>1</v>
      </c>
      <c r="P344" s="407" t="n">
        <v>1</v>
      </c>
      <c r="Q344" s="1545">
        <f>SUM(E344:P344)</f>
        <v/>
      </c>
    </row>
    <row r="345" spans="1:33">
      <c r="B345" s="2669" t="n"/>
      <c r="C345" s="405" t="s">
        <v>284</v>
      </c>
      <c r="D345" s="2670" t="s">
        <v>285</v>
      </c>
      <c r="E345" s="407" t="n">
        <v>7</v>
      </c>
      <c r="F345" s="407" t="n">
        <v>8</v>
      </c>
      <c r="G345" s="407" t="n">
        <v>7</v>
      </c>
      <c r="H345" s="407" t="n">
        <v>7</v>
      </c>
      <c r="I345" s="407" t="n">
        <v>7</v>
      </c>
      <c r="J345" s="407" t="n">
        <v>7</v>
      </c>
      <c r="K345" s="407" t="n">
        <v>7</v>
      </c>
      <c r="L345" s="407" t="n">
        <v>7</v>
      </c>
      <c r="M345" s="407" t="n">
        <v>7</v>
      </c>
      <c r="N345" s="407" t="n">
        <v>7</v>
      </c>
      <c r="O345" s="407" t="n">
        <v>7</v>
      </c>
      <c r="P345" s="407" t="n">
        <v>7</v>
      </c>
      <c r="Q345" s="1545">
        <f>SUM(E345:P345)</f>
        <v/>
      </c>
    </row>
    <row r="346" spans="1:33">
      <c r="B346" s="2669" t="n"/>
      <c r="C346" s="405" t="n"/>
      <c r="D346" s="2670" t="s">
        <v>286</v>
      </c>
      <c r="E346" s="407" t="n">
        <v>8</v>
      </c>
      <c r="F346" s="407" t="n">
        <v>7</v>
      </c>
      <c r="G346" s="407" t="n">
        <v>7</v>
      </c>
      <c r="H346" s="407" t="n">
        <v>1</v>
      </c>
      <c r="I346" s="407" t="n">
        <v>1</v>
      </c>
      <c r="J346" s="407" t="n">
        <v>1</v>
      </c>
      <c r="K346" s="407" t="n">
        <v>1</v>
      </c>
      <c r="L346" s="407" t="n">
        <v>1</v>
      </c>
      <c r="M346" s="407" t="n">
        <v>1</v>
      </c>
      <c r="N346" s="407" t="n">
        <v>1</v>
      </c>
      <c r="O346" s="407" t="n">
        <v>1</v>
      </c>
      <c r="P346" s="407" t="n">
        <v>1</v>
      </c>
      <c r="Q346" s="1545">
        <f>SUM(E346:P346)</f>
        <v/>
      </c>
    </row>
    <row customHeight="1" ht="15" r="347" s="1843" spans="1:33" thickBot="1">
      <c r="B347" s="2669" t="n"/>
      <c r="C347" s="405" t="n"/>
      <c r="D347" s="2670" t="s">
        <v>287</v>
      </c>
      <c r="E347" s="407" t="n">
        <v>11</v>
      </c>
      <c r="F347" s="407" t="n">
        <v>11</v>
      </c>
      <c r="G347" s="407" t="n">
        <v>9</v>
      </c>
      <c r="H347" s="407" t="n">
        <v>12</v>
      </c>
      <c r="I347" s="407" t="n">
        <v>12</v>
      </c>
      <c r="J347" s="407" t="n">
        <v>12</v>
      </c>
      <c r="K347" s="407" t="n">
        <v>13</v>
      </c>
      <c r="L347" s="407" t="n">
        <v>13</v>
      </c>
      <c r="M347" s="407" t="n">
        <v>13</v>
      </c>
      <c r="N347" s="407" t="n">
        <v>13</v>
      </c>
      <c r="O347" s="407" t="n">
        <v>13</v>
      </c>
      <c r="P347" s="407" t="n">
        <v>13</v>
      </c>
      <c r="Q347" s="1545">
        <f>SUM(E347:P347)</f>
        <v/>
      </c>
    </row>
    <row customHeight="1" ht="15.75" r="348" s="1843" spans="1:33" thickBot="1" thickTop="1">
      <c r="A348" s="2504" t="n"/>
      <c r="B348" s="2504" t="n"/>
      <c r="C348" s="301" t="n"/>
      <c r="D348" s="2672" t="s">
        <v>288</v>
      </c>
      <c r="E348" s="837">
        <f>SUM(E341:E347)</f>
        <v/>
      </c>
      <c r="F348" s="837">
        <f>SUM(F341:F347)</f>
        <v/>
      </c>
      <c r="G348" s="837">
        <f>SUM(G341:G347)</f>
        <v/>
      </c>
      <c r="H348" s="837">
        <f>SUM(H341:H347)</f>
        <v/>
      </c>
      <c r="I348" s="837">
        <f>SUM(I341:I347)</f>
        <v/>
      </c>
      <c r="J348" s="837">
        <f>SUM(J341:J347)</f>
        <v/>
      </c>
      <c r="K348" s="837">
        <f>SUM(K341:K347)</f>
        <v/>
      </c>
      <c r="L348" s="837">
        <f>SUM(L341:L347)</f>
        <v/>
      </c>
      <c r="M348" s="837">
        <f>SUM(M341:M347)</f>
        <v/>
      </c>
      <c r="N348" s="837">
        <f>SUM(N341:N347)</f>
        <v/>
      </c>
      <c r="O348" s="837">
        <f>SUM(O341:O347)</f>
        <v/>
      </c>
      <c r="P348" s="1191">
        <f>SUM(P341:P347)</f>
        <v/>
      </c>
      <c r="Q348" s="1545">
        <f>SUM(E348:P348)</f>
        <v/>
      </c>
    </row>
    <row customHeight="1" ht="15" r="349" s="1843" spans="1:33" thickTop="1">
      <c r="A349" s="2504" t="n"/>
      <c r="B349" s="2504" t="n"/>
      <c r="C349" s="301" t="n"/>
      <c r="D349" s="2664" t="n"/>
      <c r="E349" s="218" t="n"/>
      <c r="F349" s="218" t="n"/>
      <c r="G349" s="218" t="n"/>
      <c r="H349" s="218" t="n"/>
      <c r="I349" s="218" t="n"/>
      <c r="J349" s="218" t="n"/>
      <c r="K349" s="218" t="n"/>
      <c r="L349" s="218" t="n"/>
      <c r="M349" s="218" t="n"/>
      <c r="N349" s="218" t="n"/>
      <c r="O349" s="218" t="n"/>
      <c r="P349" s="218" t="n"/>
      <c r="Q349" s="2504" t="n"/>
    </row>
    <row r="350" spans="1:33">
      <c r="A350" s="2673" t="s">
        <v>277</v>
      </c>
      <c r="B350" s="2673" t="s">
        <v>289</v>
      </c>
      <c r="C350" s="735" t="s">
        <v>290</v>
      </c>
      <c r="D350" s="2674" t="s">
        <v>291</v>
      </c>
      <c r="E350" s="737" t="n">
        <v>77</v>
      </c>
      <c r="F350" s="737" t="n">
        <v>77</v>
      </c>
      <c r="G350" s="737" t="n">
        <v>77</v>
      </c>
      <c r="H350" s="737" t="n">
        <v>83.5</v>
      </c>
      <c r="I350" s="737" t="n">
        <v>83.5</v>
      </c>
      <c r="J350" s="737" t="n">
        <v>83.5</v>
      </c>
      <c r="K350" s="737" t="n">
        <v>83.5</v>
      </c>
      <c r="L350" s="737" t="n">
        <v>83.5</v>
      </c>
      <c r="M350" s="737" t="n">
        <v>83.5</v>
      </c>
      <c r="N350" s="737" t="n">
        <v>83.5</v>
      </c>
      <c r="O350" s="737" t="n">
        <v>82.5</v>
      </c>
      <c r="P350" s="737" t="n">
        <v>82.5</v>
      </c>
      <c r="Q350" s="1545">
        <f>SUM(E350:P350)</f>
        <v/>
      </c>
    </row>
    <row r="351" spans="1:33">
      <c r="C351" s="735" t="s">
        <v>290</v>
      </c>
      <c r="D351" s="2674" t="s">
        <v>292</v>
      </c>
      <c r="E351" s="737" t="n">
        <v>10</v>
      </c>
      <c r="F351" s="737" t="n">
        <v>11</v>
      </c>
      <c r="G351" s="737" t="n">
        <v>10</v>
      </c>
      <c r="H351" s="737" t="n">
        <v>9</v>
      </c>
      <c r="I351" s="737" t="n">
        <v>9</v>
      </c>
      <c r="J351" s="737" t="n">
        <v>9</v>
      </c>
      <c r="K351" s="737" t="n">
        <v>9</v>
      </c>
      <c r="L351" s="737" t="n">
        <v>9</v>
      </c>
      <c r="M351" s="737" t="n">
        <v>9</v>
      </c>
      <c r="N351" s="737" t="n">
        <v>9</v>
      </c>
      <c r="O351" s="737" t="n">
        <v>9</v>
      </c>
      <c r="P351" s="737" t="n">
        <v>9</v>
      </c>
      <c r="Q351" s="1545">
        <f>SUM(E351:P351)</f>
        <v/>
      </c>
    </row>
    <row r="352" spans="1:33">
      <c r="C352" s="735" t="n"/>
      <c r="D352" s="2674" t="s">
        <v>293</v>
      </c>
      <c r="E352" s="737" t="n">
        <v>12</v>
      </c>
      <c r="F352" s="737" t="n">
        <v>13</v>
      </c>
      <c r="G352" s="737" t="n">
        <v>14</v>
      </c>
      <c r="H352" s="737" t="n">
        <v>20</v>
      </c>
      <c r="I352" s="737" t="n">
        <v>20</v>
      </c>
      <c r="J352" s="737" t="n">
        <v>20</v>
      </c>
      <c r="K352" s="737" t="n">
        <v>22</v>
      </c>
      <c r="L352" s="737" t="n">
        <v>22</v>
      </c>
      <c r="M352" s="737" t="n">
        <v>22</v>
      </c>
      <c r="N352" s="737" t="n">
        <v>20</v>
      </c>
      <c r="O352" s="737" t="n">
        <v>20</v>
      </c>
      <c r="P352" s="737" t="n">
        <v>20</v>
      </c>
      <c r="Q352" s="1545">
        <f>SUM(E352:P352)</f>
        <v/>
      </c>
    </row>
    <row r="353" spans="1:33">
      <c r="C353" s="735" t="n"/>
      <c r="D353" s="2674" t="s">
        <v>294</v>
      </c>
      <c r="E353" s="737" t="n">
        <v>21</v>
      </c>
      <c r="F353" s="737" t="n">
        <v>20.5</v>
      </c>
      <c r="G353" s="737" t="n">
        <v>20.5</v>
      </c>
      <c r="H353" s="737" t="n">
        <v>30</v>
      </c>
      <c r="I353" s="737" t="n">
        <v>30</v>
      </c>
      <c r="J353" s="737" t="n">
        <v>37</v>
      </c>
      <c r="K353" s="737" t="n">
        <v>30</v>
      </c>
      <c r="L353" s="737" t="n">
        <v>27</v>
      </c>
      <c r="M353" s="737" t="n">
        <v>22</v>
      </c>
      <c r="N353" s="737" t="n">
        <v>22</v>
      </c>
      <c r="O353" s="737" t="n">
        <v>22</v>
      </c>
      <c r="P353" s="737" t="n">
        <v>22</v>
      </c>
      <c r="Q353" s="1545">
        <f>SUM(E353:P353)</f>
        <v/>
      </c>
    </row>
    <row customHeight="1" ht="15" r="354" s="1843" spans="1:33" thickBot="1">
      <c r="C354" s="735" t="n"/>
      <c r="D354" s="2674" t="s">
        <v>295</v>
      </c>
      <c r="E354" s="737" t="n">
        <v>13</v>
      </c>
      <c r="F354" s="737" t="n">
        <v>12.5</v>
      </c>
      <c r="G354" s="737" t="n">
        <v>12.5</v>
      </c>
      <c r="H354" s="737" t="n">
        <v>14</v>
      </c>
      <c r="I354" s="737" t="n">
        <v>14</v>
      </c>
      <c r="J354" s="737" t="n">
        <v>14</v>
      </c>
      <c r="K354" s="737" t="n">
        <v>16</v>
      </c>
      <c r="L354" s="737" t="n">
        <v>16</v>
      </c>
      <c r="M354" s="737" t="n">
        <v>16</v>
      </c>
      <c r="N354" s="737" t="n">
        <v>18</v>
      </c>
      <c r="O354" s="737" t="n">
        <v>18</v>
      </c>
      <c r="P354" s="737" t="n">
        <v>18</v>
      </c>
      <c r="Q354" s="1545">
        <f>SUM(E354:P354)</f>
        <v/>
      </c>
    </row>
    <row customHeight="1" ht="15.75" r="355" s="1843" spans="1:33" thickBot="1" thickTop="1">
      <c r="A355" s="2504" t="n"/>
      <c r="B355" s="2504" t="n"/>
      <c r="C355" s="301" t="n"/>
      <c r="D355" s="2675" t="s">
        <v>296</v>
      </c>
      <c r="E355" s="739">
        <f>SUM(E350:E354)</f>
        <v/>
      </c>
      <c r="F355" s="739">
        <f>SUM(F350:F354)</f>
        <v/>
      </c>
      <c r="G355" s="739">
        <f>SUM(G350:G354)</f>
        <v/>
      </c>
      <c r="H355" s="739">
        <f>SUM(H350:H354)</f>
        <v/>
      </c>
      <c r="I355" s="739">
        <f>SUM(I350:I354)</f>
        <v/>
      </c>
      <c r="J355" s="739">
        <f>SUM(J350:J354)</f>
        <v/>
      </c>
      <c r="K355" s="739">
        <f>SUM(K350:K354)</f>
        <v/>
      </c>
      <c r="L355" s="739">
        <f>SUM(L350:L354)</f>
        <v/>
      </c>
      <c r="M355" s="739">
        <f>SUM(M350:M354)</f>
        <v/>
      </c>
      <c r="N355" s="739">
        <f>SUM(N350:N354)</f>
        <v/>
      </c>
      <c r="O355" s="739">
        <f>SUM(O350:O354)</f>
        <v/>
      </c>
      <c r="P355" s="739">
        <f>SUM(P350:P354)</f>
        <v/>
      </c>
      <c r="Q355" s="1545">
        <f>SUM(E355:P355)</f>
        <v/>
      </c>
      <c r="T355" s="2362" t="n"/>
    </row>
    <row customHeight="1" ht="15" r="356" s="1843" spans="1:33" thickTop="1">
      <c r="A356" s="2504" t="n"/>
      <c r="B356" s="2504" t="n"/>
      <c r="C356" s="301" t="n"/>
      <c r="D356" s="2676" t="s">
        <v>297</v>
      </c>
      <c r="E356" s="741">
        <f>E348+E355</f>
        <v/>
      </c>
      <c r="F356" s="741">
        <f>F348+F355</f>
        <v/>
      </c>
      <c r="G356" s="741">
        <f>G348+G355</f>
        <v/>
      </c>
      <c r="H356" s="741">
        <f>H348+H355</f>
        <v/>
      </c>
      <c r="I356" s="741">
        <f>I348+I355</f>
        <v/>
      </c>
      <c r="J356" s="741">
        <f>J348+J355</f>
        <v/>
      </c>
      <c r="K356" s="741">
        <f>K348+K355</f>
        <v/>
      </c>
      <c r="L356" s="741">
        <f>L348+L355</f>
        <v/>
      </c>
      <c r="M356" s="741">
        <f>M348+M355</f>
        <v/>
      </c>
      <c r="N356" s="741">
        <f>N348+N355</f>
        <v/>
      </c>
      <c r="O356" s="741">
        <f>O348+O355</f>
        <v/>
      </c>
      <c r="P356" s="741">
        <f>P348+P355</f>
        <v/>
      </c>
      <c r="Q356" s="218">
        <f>SUM(E356:P356)</f>
        <v/>
      </c>
      <c r="T356" s="2362" t="n"/>
    </row>
    <row r="357" spans="1:33">
      <c r="E357" s="2677" t="n"/>
      <c r="T357" s="2362" t="n"/>
      <c r="AA357" s="2362" t="n"/>
    </row>
    <row r="358" spans="1:33">
      <c r="D358" s="2678" t="s">
        <v>298</v>
      </c>
      <c r="E358" s="514">
        <f>SUM(E342:E347)</f>
        <v/>
      </c>
      <c r="F358" s="514">
        <f>SUM(F342:F347)</f>
        <v/>
      </c>
      <c r="G358" s="514">
        <f>SUM(G342:G347)</f>
        <v/>
      </c>
      <c r="H358" s="514">
        <f>SUM(H342:H347)</f>
        <v/>
      </c>
      <c r="I358" s="514">
        <f>SUM(I342:I347)</f>
        <v/>
      </c>
      <c r="J358" s="514">
        <f>SUM(J342:J347)</f>
        <v/>
      </c>
      <c r="K358" s="514">
        <f>SUM(K342:K347)</f>
        <v/>
      </c>
      <c r="L358" s="514">
        <f>SUM(L342:L347)</f>
        <v/>
      </c>
      <c r="M358" s="514">
        <f>SUM(M342:M347)</f>
        <v/>
      </c>
      <c r="N358" s="514">
        <f>SUM(N342:N347)</f>
        <v/>
      </c>
      <c r="O358" s="514">
        <f>SUM(O342:O347)</f>
        <v/>
      </c>
      <c r="P358" s="514">
        <f>SUM(P342:P347)</f>
        <v/>
      </c>
      <c r="Q358" s="514">
        <f>SUM(E358:P358)</f>
        <v/>
      </c>
      <c r="T358" s="2362" t="n"/>
    </row>
    <row r="359" spans="1:33">
      <c r="D359" s="2678" t="s">
        <v>299</v>
      </c>
      <c r="E359" s="514">
        <f>E344</f>
        <v/>
      </c>
      <c r="F359" s="514">
        <f>F344</f>
        <v/>
      </c>
      <c r="G359" s="514">
        <f>G344</f>
        <v/>
      </c>
      <c r="H359" s="514">
        <f>H344</f>
        <v/>
      </c>
      <c r="I359" s="514">
        <f>I344</f>
        <v/>
      </c>
      <c r="J359" s="514">
        <f>J344</f>
        <v/>
      </c>
      <c r="K359" s="514">
        <f>K344</f>
        <v/>
      </c>
      <c r="L359" s="514">
        <f>L344</f>
        <v/>
      </c>
      <c r="M359" s="514">
        <f>M344</f>
        <v/>
      </c>
      <c r="N359" s="514">
        <f>N344</f>
        <v/>
      </c>
      <c r="O359" s="514">
        <f>O344</f>
        <v/>
      </c>
      <c r="P359" s="514">
        <f>P344</f>
        <v/>
      </c>
      <c r="Q359" s="514">
        <f>SUM(E359:P359)</f>
        <v/>
      </c>
      <c r="T359" s="2362" t="n"/>
    </row>
    <row r="360" spans="1:33">
      <c r="D360" s="2678" t="s">
        <v>300</v>
      </c>
      <c r="E360" s="514">
        <f>E347</f>
        <v/>
      </c>
      <c r="F360" s="514">
        <f>F347</f>
        <v/>
      </c>
      <c r="G360" s="514">
        <f>G347</f>
        <v/>
      </c>
      <c r="H360" s="514">
        <f>H347</f>
        <v/>
      </c>
      <c r="I360" s="514">
        <f>I347</f>
        <v/>
      </c>
      <c r="J360" s="514">
        <f>J347</f>
        <v/>
      </c>
      <c r="K360" s="514">
        <f>K347</f>
        <v/>
      </c>
      <c r="L360" s="514">
        <f>L347</f>
        <v/>
      </c>
      <c r="M360" s="514">
        <f>M347</f>
        <v/>
      </c>
      <c r="N360" s="514">
        <f>N347</f>
        <v/>
      </c>
      <c r="O360" s="514">
        <f>O347</f>
        <v/>
      </c>
      <c r="P360" s="514">
        <f>P347</f>
        <v/>
      </c>
      <c r="Q360" s="514">
        <f>SUM(E360:P360)</f>
        <v/>
      </c>
      <c r="T360" s="2362" t="n"/>
    </row>
    <row r="361" spans="1:33">
      <c r="D361" s="2678" t="s">
        <v>301</v>
      </c>
      <c r="E361" s="514">
        <f>E343+E346</f>
        <v/>
      </c>
      <c r="F361" s="514">
        <f>F343+F346</f>
        <v/>
      </c>
      <c r="G361" s="514">
        <f>G343+G346</f>
        <v/>
      </c>
      <c r="H361" s="514">
        <f>H343+H346</f>
        <v/>
      </c>
      <c r="I361" s="514">
        <f>I343+I346</f>
        <v/>
      </c>
      <c r="J361" s="514">
        <f>J343+J346</f>
        <v/>
      </c>
      <c r="K361" s="514">
        <f>K343+K346</f>
        <v/>
      </c>
      <c r="L361" s="514">
        <f>L343+L346</f>
        <v/>
      </c>
      <c r="M361" s="514">
        <f>M343+M346</f>
        <v/>
      </c>
      <c r="N361" s="514">
        <f>N343+N346</f>
        <v/>
      </c>
      <c r="O361" s="514">
        <f>O343+O346</f>
        <v/>
      </c>
      <c r="P361" s="514">
        <f>P343+P346</f>
        <v/>
      </c>
      <c r="Q361" s="514">
        <f>SUM(E361:P361)</f>
        <v/>
      </c>
      <c r="T361" s="2362" t="n"/>
    </row>
    <row r="362" spans="1:33">
      <c r="D362" s="2678" t="s">
        <v>302</v>
      </c>
      <c r="E362" s="514">
        <f>E345</f>
        <v/>
      </c>
      <c r="F362" s="514">
        <f>F345</f>
        <v/>
      </c>
      <c r="G362" s="514">
        <f>G345</f>
        <v/>
      </c>
      <c r="H362" s="514">
        <f>H345</f>
        <v/>
      </c>
      <c r="I362" s="514">
        <f>I345</f>
        <v/>
      </c>
      <c r="J362" s="514">
        <f>J345</f>
        <v/>
      </c>
      <c r="K362" s="514">
        <f>K345</f>
        <v/>
      </c>
      <c r="L362" s="514">
        <f>L345</f>
        <v/>
      </c>
      <c r="M362" s="514">
        <f>M345</f>
        <v/>
      </c>
      <c r="N362" s="514">
        <f>N345</f>
        <v/>
      </c>
      <c r="O362" s="514">
        <f>O345</f>
        <v/>
      </c>
      <c r="P362" s="514">
        <f>P345</f>
        <v/>
      </c>
      <c r="Q362" s="514">
        <f>SUM(E362:P362)</f>
        <v/>
      </c>
      <c r="T362" s="2362" t="n"/>
    </row>
    <row r="363" spans="1:33">
      <c r="E363" s="2677" t="n"/>
      <c r="T363" s="2362" t="n"/>
    </row>
    <row r="364" spans="1:33">
      <c r="C364" s="2454" t="n"/>
      <c r="D364" s="2679" t="s">
        <v>303</v>
      </c>
      <c r="E364" s="408" t="n">
        <v>43191</v>
      </c>
      <c r="F364" s="408" t="n">
        <v>43221</v>
      </c>
      <c r="G364" s="408" t="n">
        <v>43252</v>
      </c>
      <c r="H364" s="408" t="n">
        <v>43282</v>
      </c>
      <c r="I364" s="408" t="n">
        <v>43313</v>
      </c>
      <c r="J364" s="408" t="n">
        <v>43344</v>
      </c>
      <c r="K364" s="408" t="n">
        <v>43374</v>
      </c>
      <c r="L364" s="408" t="n">
        <v>43405</v>
      </c>
      <c r="M364" s="408" t="n">
        <v>43435</v>
      </c>
      <c r="N364" s="408" t="n">
        <v>43466</v>
      </c>
      <c r="O364" s="408" t="n">
        <v>43497</v>
      </c>
      <c r="P364" s="408" t="n">
        <v>43525</v>
      </c>
      <c r="Q364" s="408" t="s">
        <v>80</v>
      </c>
      <c r="S364" s="2362" t="n"/>
      <c r="T364" s="2362" t="n"/>
    </row>
    <row r="365" spans="1:33">
      <c r="B365" s="1548" t="n"/>
      <c r="C365" s="2362" t="n"/>
      <c r="D365" s="1709" t="n">
        <v>12124</v>
      </c>
      <c r="E365" s="2680" t="n">
        <v>62488.53999999997</v>
      </c>
      <c r="F365" s="2680" t="n">
        <v>85087.26999999999</v>
      </c>
      <c r="G365" s="2681" t="n">
        <v>82447.75000000001</v>
      </c>
      <c r="H365" s="2680" t="n">
        <v>54310.04999999997</v>
      </c>
      <c r="I365" s="2682" t="n">
        <v>-3936.84000000004</v>
      </c>
      <c r="J365" s="2682" t="n">
        <v>8325.309999999999</v>
      </c>
      <c r="K365" s="2682" t="n">
        <v>133199.92</v>
      </c>
      <c r="L365" s="2682" t="n">
        <v>128116.44</v>
      </c>
      <c r="M365" s="2682" t="n">
        <v>124970.21</v>
      </c>
      <c r="N365" s="2682" t="n">
        <v>85084.52</v>
      </c>
      <c r="O365" s="2682" t="n">
        <v>84383.12</v>
      </c>
      <c r="P365" s="2682" t="n">
        <v>81889</v>
      </c>
      <c r="Q365" s="2681">
        <f>SUM(E365:P365)</f>
        <v/>
      </c>
      <c r="R365" s="2683">
        <f>'[5]FY18 CFG Prev'!Q365</f>
        <v/>
      </c>
      <c r="S365" s="2362" t="n"/>
      <c r="T365" s="2362" t="n"/>
      <c r="V365" s="2683">
        <f>Q365-R365</f>
        <v/>
      </c>
      <c r="W365" s="2538" t="n"/>
      <c r="X365" s="2377" t="n"/>
    </row>
    <row r="366" spans="1:33">
      <c r="B366" s="1548" t="n"/>
      <c r="C366" s="2362" t="n"/>
      <c r="D366" s="1550" t="n">
        <v>12163</v>
      </c>
      <c r="E366" s="2680" t="n">
        <v>1091.35</v>
      </c>
      <c r="F366" s="2680" t="n">
        <v>1486.04</v>
      </c>
      <c r="G366" s="2681" t="n">
        <v>1439.96</v>
      </c>
      <c r="H366" s="2680" t="n">
        <v>948.5300000000002</v>
      </c>
      <c r="I366" s="2682" t="n">
        <v>-68.7600000000011</v>
      </c>
      <c r="J366" s="2682" t="n">
        <v>145.389999999998</v>
      </c>
      <c r="K366" s="2682" t="n">
        <v>2326.34</v>
      </c>
      <c r="L366" s="2682" t="n">
        <v>2237.55</v>
      </c>
      <c r="M366" s="2682" t="n">
        <v>2182.6</v>
      </c>
      <c r="N366" s="2682" t="n">
        <v>1486</v>
      </c>
      <c r="O366" s="2682" t="n">
        <v>1473.75</v>
      </c>
      <c r="P366" s="2682" t="n">
        <v>1430.19</v>
      </c>
      <c r="Q366" s="2681">
        <f>SUM(E366:P366)</f>
        <v/>
      </c>
      <c r="R366" s="2683">
        <f>'[5]FY18 CFG Prev'!Q366</f>
        <v/>
      </c>
      <c r="S366" s="2362" t="n"/>
      <c r="T366" s="2362" t="n"/>
      <c r="V366" s="2683">
        <f>Q366-R366</f>
        <v/>
      </c>
      <c r="W366" s="2538" t="n"/>
      <c r="X366" s="2377" t="n"/>
    </row>
    <row r="367" spans="1:33">
      <c r="B367" s="1551" t="n"/>
      <c r="C367" s="2362" t="n"/>
      <c r="D367" s="1550" t="s">
        <v>229</v>
      </c>
      <c r="E367" s="2680" t="n">
        <v>187.08</v>
      </c>
      <c r="F367" s="2680" t="n">
        <v>254.7400000000001</v>
      </c>
      <c r="G367" s="2681" t="n">
        <v>246.8500000000001</v>
      </c>
      <c r="H367" s="2680" t="n">
        <v>162.58</v>
      </c>
      <c r="I367" s="2682" t="n">
        <v>-11.7999999999998</v>
      </c>
      <c r="J367" s="2682" t="n">
        <v>24.91</v>
      </c>
      <c r="K367" s="2682" t="n">
        <v>398.8</v>
      </c>
      <c r="L367" s="2682" t="n">
        <v>383.58</v>
      </c>
      <c r="M367" s="2682" t="n">
        <v>374.16</v>
      </c>
      <c r="N367" s="2682" t="n">
        <v>254.74</v>
      </c>
      <c r="O367" s="2682" t="n">
        <v>252.64</v>
      </c>
      <c r="P367" s="2682" t="n">
        <v>245.17</v>
      </c>
      <c r="Q367" s="2681">
        <f>SUM(E367:P367)</f>
        <v/>
      </c>
      <c r="R367" s="2683">
        <f>'[5]FY18 CFG Prev'!Q367</f>
        <v/>
      </c>
      <c r="S367" s="2362" t="n"/>
      <c r="T367" s="2362" t="n"/>
      <c r="V367" s="2683">
        <f>Q367-R367</f>
        <v/>
      </c>
      <c r="W367" s="2538" t="n"/>
      <c r="X367" s="2377" t="n"/>
    </row>
    <row r="368" spans="1:33">
      <c r="B368" s="1551" t="n"/>
      <c r="C368" s="2362" t="n"/>
      <c r="D368" s="1550" t="s">
        <v>234</v>
      </c>
      <c r="E368" s="2680" t="n">
        <v>3242.910000000003</v>
      </c>
      <c r="F368" s="2680" t="n">
        <v>4415.709999999999</v>
      </c>
      <c r="G368" s="2681" t="n">
        <v>4278.729999999999</v>
      </c>
      <c r="H368" s="2680" t="n">
        <v>2818.48</v>
      </c>
      <c r="I368" s="2682" t="n">
        <v>-204.309999999999</v>
      </c>
      <c r="J368" s="2682" t="n">
        <v>432.040000000001</v>
      </c>
      <c r="K368" s="2682" t="n">
        <v>6912.56</v>
      </c>
      <c r="L368" s="2682" t="n">
        <v>6648.75</v>
      </c>
      <c r="M368" s="2682" t="n">
        <v>6485.47</v>
      </c>
      <c r="N368" s="2682" t="n">
        <v>4415.56</v>
      </c>
      <c r="O368" s="2682" t="n">
        <v>4379.16</v>
      </c>
      <c r="P368" s="2682" t="n">
        <v>4249.74</v>
      </c>
      <c r="Q368" s="2681">
        <f>SUM(E368:P368)</f>
        <v/>
      </c>
      <c r="R368" s="2683">
        <f>'[5]FY18 CFG Prev'!Q368</f>
        <v/>
      </c>
      <c r="S368" s="2362" t="n"/>
      <c r="T368" s="2362" t="n"/>
      <c r="V368" s="2683">
        <f>Q368-R368</f>
        <v/>
      </c>
      <c r="W368" s="2538" t="n"/>
      <c r="X368" s="2377" t="n"/>
    </row>
    <row customFormat="1" r="369" s="2362" spans="1:33">
      <c r="B369" s="1551" t="n"/>
      <c r="C369" s="2362" t="n"/>
      <c r="D369" s="1550" t="s">
        <v>304</v>
      </c>
      <c r="E369" s="2680" t="n">
        <v>5269.769999999995</v>
      </c>
      <c r="F369" s="2680" t="n">
        <v>7175.540000000003</v>
      </c>
      <c r="G369" s="2681" t="n">
        <v>6952.920000000002</v>
      </c>
      <c r="H369" s="2680" t="n">
        <v>4580.029999999997</v>
      </c>
      <c r="I369" s="2682" t="n">
        <v>-331.990000000004</v>
      </c>
      <c r="J369" s="2682" t="n">
        <v>702.099999999996</v>
      </c>
      <c r="K369" s="2682" t="n">
        <v>11232.91</v>
      </c>
      <c r="L369" s="2682" t="n">
        <v>10804.22</v>
      </c>
      <c r="M369" s="2682" t="n">
        <v>10538.89</v>
      </c>
      <c r="N369" s="2682" t="n">
        <v>7175.28999999999</v>
      </c>
      <c r="O369" s="2682" t="n">
        <v>7116.13999999999</v>
      </c>
      <c r="P369" s="2682" t="n">
        <v>6905.81</v>
      </c>
      <c r="Q369" s="2681">
        <f>SUM(E369:P369)</f>
        <v/>
      </c>
      <c r="R369" s="2683">
        <f>'[5]FY18 CFG Prev'!Q369</f>
        <v/>
      </c>
      <c r="T369" s="2362" t="n"/>
      <c r="U369" s="2362" t="n"/>
      <c r="V369" s="2683">
        <f>Q369-R369</f>
        <v/>
      </c>
      <c r="W369" s="2538" t="n"/>
      <c r="X369" s="2377" t="n"/>
    </row>
    <row customFormat="1" r="370" s="2362" spans="1:33">
      <c r="A370" s="2684" t="n"/>
      <c r="B370" s="2685" t="n"/>
      <c r="C370" s="2362" t="n"/>
      <c r="D370" s="2686" t="s">
        <v>80</v>
      </c>
      <c r="E370" s="2687">
        <f>SUM(E365:E369)</f>
        <v/>
      </c>
      <c r="F370" s="2687">
        <f>SUM(F365:F369)</f>
        <v/>
      </c>
      <c r="G370" s="2687">
        <f>SUM(G365:G369)</f>
        <v/>
      </c>
      <c r="H370" s="2687">
        <f>SUM(H365:H369)</f>
        <v/>
      </c>
      <c r="I370" s="2687">
        <f>SUM(I365:I369)</f>
        <v/>
      </c>
      <c r="J370" s="2687">
        <f>SUM(J365:J369)</f>
        <v/>
      </c>
      <c r="K370" s="2687">
        <f>SUM(K365:K369)</f>
        <v/>
      </c>
      <c r="L370" s="2687">
        <f>SUM(L365:L369)</f>
        <v/>
      </c>
      <c r="M370" s="2687">
        <f>SUM(M365:M369)</f>
        <v/>
      </c>
      <c r="N370" s="2687">
        <f>SUM(N365:N369)</f>
        <v/>
      </c>
      <c r="O370" s="2687">
        <f>SUM(O365:O369)</f>
        <v/>
      </c>
      <c r="P370" s="2687">
        <f>SUM(P365:P369)</f>
        <v/>
      </c>
      <c r="Q370" s="2687">
        <f>SUM(Q365:Q369)</f>
        <v/>
      </c>
      <c r="R370" s="2683">
        <f>'[5]FY18 CFG Prev'!Q370</f>
        <v/>
      </c>
      <c r="T370" s="2362" t="n"/>
      <c r="U370" s="2362" t="n"/>
      <c r="V370" s="2683">
        <f>Q370-R370</f>
        <v/>
      </c>
      <c r="W370" s="2362" t="n"/>
      <c r="X370" s="2362" t="n"/>
    </row>
    <row customFormat="1" r="371" s="2362" spans="1:33">
      <c r="A371" s="1553" t="n"/>
      <c r="B371" s="2688" t="s">
        <v>305</v>
      </c>
      <c r="D371" s="2689" t="s">
        <v>306</v>
      </c>
      <c r="E371" s="2690">
        <f>E$370*E341/E$348</f>
        <v/>
      </c>
      <c r="F371" s="2691">
        <f>F$370*F341/F$348</f>
        <v/>
      </c>
      <c r="G371" s="2691">
        <f>G$370*G341/G$348</f>
        <v/>
      </c>
      <c r="H371" s="2691">
        <f>H$370*H341/H$348</f>
        <v/>
      </c>
      <c r="I371" s="2691">
        <f>I$370*I341/I$348</f>
        <v/>
      </c>
      <c r="J371" s="2691">
        <f>J$370*J341/J$348</f>
        <v/>
      </c>
      <c r="K371" s="2691">
        <f>K$370*K341/K$348</f>
        <v/>
      </c>
      <c r="L371" s="2691">
        <f>L$370*L341/L$348</f>
        <v/>
      </c>
      <c r="M371" s="2691">
        <f>M$370*M341/M$348</f>
        <v/>
      </c>
      <c r="N371" s="2691">
        <f>N$370*N341/N$348</f>
        <v/>
      </c>
      <c r="O371" s="2691">
        <f>O$370*O341/O$348</f>
        <v/>
      </c>
      <c r="P371" s="2691">
        <f>P$370*P341/P$348</f>
        <v/>
      </c>
      <c r="Q371" s="2691">
        <f>SUM(E371:P371)</f>
        <v/>
      </c>
      <c r="R371" s="2504" t="n"/>
      <c r="T371" s="2362" t="n"/>
      <c r="U371" s="2362" t="n"/>
      <c r="V371" s="2362" t="n"/>
      <c r="W371" s="2362" t="n"/>
      <c r="X371" s="2362" t="n"/>
    </row>
    <row customFormat="1" r="372" s="2362" spans="1:33">
      <c r="A372" s="2684" t="n"/>
      <c r="D372" s="2689" t="s">
        <v>307</v>
      </c>
      <c r="E372" s="2691">
        <f>E$370*E347/E$348</f>
        <v/>
      </c>
      <c r="F372" s="2691">
        <f>F$370*F347/F$348</f>
        <v/>
      </c>
      <c r="G372" s="2691">
        <f>G$370*G347/G$348</f>
        <v/>
      </c>
      <c r="H372" s="2691">
        <f>H$370*H347/H$348</f>
        <v/>
      </c>
      <c r="I372" s="2691">
        <f>I$370*I347/I$348</f>
        <v/>
      </c>
      <c r="J372" s="2691">
        <f>J$370*J347/J$348</f>
        <v/>
      </c>
      <c r="K372" s="2691">
        <f>K$370*K347/K$348</f>
        <v/>
      </c>
      <c r="L372" s="2691">
        <f>L$370*L347/L$348</f>
        <v/>
      </c>
      <c r="M372" s="2691">
        <f>M$370*M347/M$348</f>
        <v/>
      </c>
      <c r="N372" s="2691">
        <f>N$370*N347/N$348</f>
        <v/>
      </c>
      <c r="O372" s="2691">
        <f>O$370*O347/O$348</f>
        <v/>
      </c>
      <c r="P372" s="2691">
        <f>P$370*P347/P$348</f>
        <v/>
      </c>
      <c r="Q372" s="2691">
        <f>SUM(E372:P372)</f>
        <v/>
      </c>
      <c r="R372" s="2504" t="n"/>
      <c r="T372" s="2362" t="n"/>
      <c r="U372" s="2362" t="n"/>
      <c r="V372" s="2362" t="n"/>
      <c r="W372" s="2362" t="n"/>
      <c r="X372" s="2362" t="n"/>
    </row>
    <row customFormat="1" r="373" s="2362" spans="1:33">
      <c r="A373" s="2685" t="n"/>
      <c r="D373" s="2689" t="s">
        <v>308</v>
      </c>
      <c r="E373" s="2691">
        <f>E$370*E342/E$348</f>
        <v/>
      </c>
      <c r="F373" s="2691">
        <f>F$370*F342/F$348</f>
        <v/>
      </c>
      <c r="G373" s="2691">
        <f>G$370*G342/G$348</f>
        <v/>
      </c>
      <c r="H373" s="2691">
        <f>H$370*H342/H$348</f>
        <v/>
      </c>
      <c r="I373" s="2691">
        <f>I$370*I342/I$348</f>
        <v/>
      </c>
      <c r="J373" s="2691">
        <f>J$370*J342/J$348</f>
        <v/>
      </c>
      <c r="K373" s="2691">
        <f>K$370*K342/K$348</f>
        <v/>
      </c>
      <c r="L373" s="2691">
        <f>L$370*L342/L$348</f>
        <v/>
      </c>
      <c r="M373" s="2691">
        <f>M$370*M342/M$348</f>
        <v/>
      </c>
      <c r="N373" s="2691">
        <f>N$370*N342/N$348</f>
        <v/>
      </c>
      <c r="O373" s="2691">
        <f>O$370*O342/O$348</f>
        <v/>
      </c>
      <c r="P373" s="2691">
        <f>P$370*P342/P$348</f>
        <v/>
      </c>
      <c r="Q373" s="2691">
        <f>SUM(E373:P373)</f>
        <v/>
      </c>
      <c r="R373" s="2504" t="n"/>
      <c r="T373" s="2362" t="n"/>
      <c r="U373" s="2362" t="n"/>
      <c r="V373" s="2362" t="n"/>
      <c r="W373" s="2362" t="n"/>
      <c r="X373" s="2362" t="n"/>
    </row>
    <row customFormat="1" r="374" s="2362" spans="1:33">
      <c r="A374" s="2684" t="n"/>
      <c r="C374" s="2684" t="n"/>
      <c r="D374" s="2689" t="s">
        <v>309</v>
      </c>
      <c r="E374" s="2691">
        <f>E$370*E343/E$348</f>
        <v/>
      </c>
      <c r="F374" s="2691">
        <f>F$370*F343/F$348</f>
        <v/>
      </c>
      <c r="G374" s="2691">
        <f>G$370*G343/G$348</f>
        <v/>
      </c>
      <c r="H374" s="2691">
        <f>H$370*H343/H$348</f>
        <v/>
      </c>
      <c r="I374" s="2691">
        <f>I$370*I343/I$348</f>
        <v/>
      </c>
      <c r="J374" s="2691">
        <f>J$370*J343/J$348</f>
        <v/>
      </c>
      <c r="K374" s="2691">
        <f>K$370*K343/K$348</f>
        <v/>
      </c>
      <c r="L374" s="2691">
        <f>L$370*L343/L$348</f>
        <v/>
      </c>
      <c r="M374" s="2691">
        <f>M$370*M343/M$348</f>
        <v/>
      </c>
      <c r="N374" s="2691">
        <f>N$370*N343/N$348</f>
        <v/>
      </c>
      <c r="O374" s="2691">
        <f>O$370*O343/O$348</f>
        <v/>
      </c>
      <c r="P374" s="2691">
        <f>P$370*P343/P$348</f>
        <v/>
      </c>
      <c r="Q374" s="2691">
        <f>SUM(E374:P374)</f>
        <v/>
      </c>
      <c r="R374" s="2504" t="n"/>
      <c r="T374" s="2362" t="n"/>
      <c r="U374" s="2362" t="n"/>
      <c r="V374" s="2362" t="n"/>
      <c r="W374" s="2362" t="n"/>
      <c r="X374" s="2362" t="n"/>
    </row>
    <row customFormat="1" r="375" s="2362" spans="1:33">
      <c r="A375" s="2684" t="n"/>
      <c r="C375" s="2684" t="n"/>
      <c r="D375" s="2689" t="s">
        <v>310</v>
      </c>
      <c r="E375" s="2691">
        <f>E$370*E344/E$348</f>
        <v/>
      </c>
      <c r="F375" s="2691">
        <f>F$370*F344/F$348</f>
        <v/>
      </c>
      <c r="G375" s="2691">
        <f>G$370*G344/G$348</f>
        <v/>
      </c>
      <c r="H375" s="2691">
        <f>H$370*H344/H$348</f>
        <v/>
      </c>
      <c r="I375" s="2691">
        <f>I$370*I344/I$348</f>
        <v/>
      </c>
      <c r="J375" s="2691">
        <f>J$370*J344/J$348</f>
        <v/>
      </c>
      <c r="K375" s="2691">
        <f>K$370*K344/K$348</f>
        <v/>
      </c>
      <c r="L375" s="2691">
        <f>L$370*L344/L$348</f>
        <v/>
      </c>
      <c r="M375" s="2691">
        <f>M$370*M344/M$348</f>
        <v/>
      </c>
      <c r="N375" s="2691">
        <f>N$370*N344/N$348</f>
        <v/>
      </c>
      <c r="O375" s="2691">
        <f>O$370*O344/O$348</f>
        <v/>
      </c>
      <c r="P375" s="2691">
        <f>P$370*P344/P$348</f>
        <v/>
      </c>
      <c r="Q375" s="2691">
        <f>SUM(E375:P375)</f>
        <v/>
      </c>
      <c r="R375" s="2504" t="n"/>
      <c r="T375" s="2362" t="n"/>
      <c r="U375" s="2362" t="n"/>
      <c r="V375" s="2362" t="n"/>
      <c r="W375" s="2362" t="n"/>
      <c r="X375" s="2362" t="n"/>
    </row>
    <row customFormat="1" r="376" s="2362" spans="1:33">
      <c r="A376" s="2684" t="n"/>
      <c r="C376" s="2684" t="n"/>
      <c r="D376" s="2689" t="s">
        <v>311</v>
      </c>
      <c r="E376" s="2691">
        <f>E$370*E345/E$348</f>
        <v/>
      </c>
      <c r="F376" s="2691">
        <f>F$370*F345/F$348</f>
        <v/>
      </c>
      <c r="G376" s="2691">
        <f>G$370*G345/G$348</f>
        <v/>
      </c>
      <c r="H376" s="2691">
        <f>H$370*H345/H$348</f>
        <v/>
      </c>
      <c r="I376" s="2691">
        <f>I$370*I345/I$348</f>
        <v/>
      </c>
      <c r="J376" s="2691">
        <f>J$370*J345/J$348</f>
        <v/>
      </c>
      <c r="K376" s="2691">
        <f>K$370*K345/K$348</f>
        <v/>
      </c>
      <c r="L376" s="2691">
        <f>L$370*L345/L$348</f>
        <v/>
      </c>
      <c r="M376" s="2691">
        <f>M$370*M345/M$348</f>
        <v/>
      </c>
      <c r="N376" s="2691">
        <f>N$370*N345/N$348</f>
        <v/>
      </c>
      <c r="O376" s="2691">
        <f>O$370*O345/O$348</f>
        <v/>
      </c>
      <c r="P376" s="2691">
        <f>P$370*P345/P$348</f>
        <v/>
      </c>
      <c r="Q376" s="2691">
        <f>SUM(E376:P376)</f>
        <v/>
      </c>
      <c r="R376" s="2504" t="n"/>
      <c r="T376" s="2362" t="n"/>
      <c r="U376" s="2362" t="n"/>
      <c r="V376" s="2362" t="n"/>
      <c r="W376" s="2362" t="n"/>
      <c r="X376" s="2362" t="n"/>
    </row>
    <row customFormat="1" r="377" s="2362" spans="1:33">
      <c r="C377" s="2684" t="n"/>
      <c r="D377" s="2689" t="s">
        <v>312</v>
      </c>
      <c r="E377" s="2691">
        <f>E$370*E346/E$348</f>
        <v/>
      </c>
      <c r="F377" s="2691">
        <f>F$370*F346/F$348</f>
        <v/>
      </c>
      <c r="G377" s="2691">
        <f>G$370*G346/G$348</f>
        <v/>
      </c>
      <c r="H377" s="2691">
        <f>H$370*H346/H$348</f>
        <v/>
      </c>
      <c r="I377" s="2691">
        <f>I$370*I346/I$348</f>
        <v/>
      </c>
      <c r="J377" s="2691">
        <f>J$370*J346/J$348</f>
        <v/>
      </c>
      <c r="K377" s="2691">
        <f>K$370*K346/K$348</f>
        <v/>
      </c>
      <c r="L377" s="2691">
        <f>L$370*L346/L$348</f>
        <v/>
      </c>
      <c r="M377" s="2691">
        <f>M$370*M346/M$348</f>
        <v/>
      </c>
      <c r="N377" s="2691">
        <f>N$370*N346/N$348</f>
        <v/>
      </c>
      <c r="O377" s="2691">
        <f>O$370*O346/O$348</f>
        <v/>
      </c>
      <c r="P377" s="2691">
        <f>P$370*P346/P$348</f>
        <v/>
      </c>
      <c r="Q377" s="2691">
        <f>SUM(E377:P377)</f>
        <v/>
      </c>
      <c r="R377" s="2504" t="n"/>
      <c r="T377" s="2362" t="n"/>
      <c r="U377" s="2362" t="n"/>
      <c r="V377" s="2362" t="n"/>
      <c r="W377" s="2362" t="n"/>
      <c r="X377" s="2362" t="n"/>
    </row>
    <row customFormat="1" r="378" s="2362" spans="1:33">
      <c r="B378" s="2684" t="n"/>
      <c r="C378" s="2684" t="n"/>
      <c r="D378" s="2689" t="s">
        <v>80</v>
      </c>
      <c r="E378" s="2692">
        <f>SUM(E371:E377)</f>
        <v/>
      </c>
      <c r="F378" s="2692">
        <f>SUM(F371:F377)</f>
        <v/>
      </c>
      <c r="G378" s="2692">
        <f>SUM(G371:G377)</f>
        <v/>
      </c>
      <c r="H378" s="2692">
        <f>SUM(H371:H377)</f>
        <v/>
      </c>
      <c r="I378" s="2692">
        <f>SUM(I371:I377)</f>
        <v/>
      </c>
      <c r="J378" s="2692">
        <f>SUM(J371:J377)</f>
        <v/>
      </c>
      <c r="K378" s="2692">
        <f>SUM(K371:K377)</f>
        <v/>
      </c>
      <c r="L378" s="2692">
        <f>SUM(L371:L377)</f>
        <v/>
      </c>
      <c r="M378" s="2692">
        <f>SUM(M371:M377)</f>
        <v/>
      </c>
      <c r="N378" s="2692">
        <f>SUM(N371:N377)</f>
        <v/>
      </c>
      <c r="O378" s="2692">
        <f>SUM(O371:O377)</f>
        <v/>
      </c>
      <c r="P378" s="2692">
        <f>SUM(P371:P377)</f>
        <v/>
      </c>
      <c r="Q378" s="2692">
        <f>SUM(Q371:Q377)</f>
        <v/>
      </c>
      <c r="R378" s="2504" t="n"/>
      <c r="T378" s="2362" t="n"/>
      <c r="U378" s="2362" t="n"/>
      <c r="V378" s="2362" t="n"/>
      <c r="W378" s="2362" t="n"/>
      <c r="X378" s="2362" t="n"/>
    </row>
    <row customFormat="1" r="379" s="2362" spans="1:33">
      <c r="B379" s="2684" t="n"/>
      <c r="C379" s="2684" t="n"/>
      <c r="D379" s="2689" t="n"/>
      <c r="E379" s="2692" t="n"/>
      <c r="F379" s="2692" t="n"/>
      <c r="G379" s="2692" t="n"/>
      <c r="H379" s="2692" t="n"/>
      <c r="I379" s="2692" t="n"/>
      <c r="J379" s="2692" t="n"/>
      <c r="K379" s="2692" t="n"/>
      <c r="L379" s="2692" t="n"/>
      <c r="M379" s="2692" t="n"/>
      <c r="N379" s="2692" t="n"/>
      <c r="O379" s="2692" t="n"/>
      <c r="P379" s="2692" t="n"/>
      <c r="Q379" s="2692" t="n"/>
      <c r="R379" s="2504" t="n"/>
      <c r="T379" s="2362" t="n"/>
      <c r="U379" s="2362" t="n"/>
      <c r="V379" s="2362" t="n"/>
      <c r="W379" s="2362" t="n"/>
      <c r="X379" s="2362" t="n"/>
    </row>
    <row customFormat="1" r="380" s="2362" spans="1:33">
      <c r="C380" s="1324" t="n"/>
      <c r="D380" s="2693" t="s">
        <v>313</v>
      </c>
      <c r="E380" s="2694" t="n">
        <v>289134.27</v>
      </c>
      <c r="F380" s="2694" t="n">
        <v>289140.29</v>
      </c>
      <c r="G380" s="2695" t="n">
        <v>288907.48</v>
      </c>
      <c r="H380" s="2695" t="n">
        <v>289097.81</v>
      </c>
      <c r="I380" s="2696" t="n">
        <v>298862.74</v>
      </c>
      <c r="J380" s="2696" t="n">
        <v>298862.74</v>
      </c>
      <c r="K380" s="2696" t="n">
        <v>285434.44</v>
      </c>
      <c r="L380" s="2696" t="n">
        <v>285434.44</v>
      </c>
      <c r="M380" s="2696" t="n">
        <v>285434.44</v>
      </c>
      <c r="N380" s="2696" t="n">
        <v>285434.44</v>
      </c>
      <c r="O380" s="2696" t="n">
        <v>285434.44</v>
      </c>
      <c r="P380" s="2696" t="n">
        <v>285434.44</v>
      </c>
      <c r="Q380" s="2694">
        <f>SUM(E380:P380)</f>
        <v/>
      </c>
      <c r="R380" s="2504" t="n"/>
      <c r="T380" s="2362" t="n"/>
      <c r="U380" s="2362" t="n"/>
      <c r="V380" s="2538" t="n"/>
      <c r="W380" s="2538" t="n"/>
      <c r="X380" s="2377" t="n"/>
    </row>
    <row customFormat="1" r="381" s="2362" spans="1:33">
      <c r="C381" s="1324" t="n"/>
      <c r="D381" s="2693" t="s">
        <v>314</v>
      </c>
      <c r="E381" s="2694" t="n">
        <v>7431.61</v>
      </c>
      <c r="F381" s="2694" t="n">
        <v>10362.6</v>
      </c>
      <c r="G381" s="2695" t="n">
        <v>8030.91</v>
      </c>
      <c r="H381" s="2695" t="n">
        <v>9334.869999999999</v>
      </c>
      <c r="I381" s="2696" t="n">
        <v>8609.02</v>
      </c>
      <c r="J381" s="2696" t="n">
        <v>8609.02</v>
      </c>
      <c r="K381" s="2696" t="n">
        <v>9257.370000000001</v>
      </c>
      <c r="L381" s="2696" t="n">
        <v>9257.370000000001</v>
      </c>
      <c r="M381" s="2696" t="n">
        <v>9257.370000000001</v>
      </c>
      <c r="N381" s="2696" t="n">
        <v>9257.370000000001</v>
      </c>
      <c r="O381" s="2696" t="n">
        <v>9257.370000000001</v>
      </c>
      <c r="P381" s="2696" t="n">
        <v>9257.370000000001</v>
      </c>
      <c r="Q381" s="2694">
        <f>SUM(E381:P381)</f>
        <v/>
      </c>
      <c r="R381" s="2504" t="n"/>
      <c r="T381" s="2362" t="n"/>
      <c r="U381" s="2362" t="n"/>
      <c r="V381" s="2538" t="n"/>
      <c r="W381" s="2538" t="n"/>
      <c r="X381" s="2377" t="n"/>
    </row>
    <row customFormat="1" r="382" s="2362" spans="1:33">
      <c r="A382" s="2697" t="s">
        <v>315</v>
      </c>
      <c r="B382" s="2697" t="n"/>
      <c r="C382" s="1324" t="n"/>
      <c r="D382" s="2693" t="s">
        <v>80</v>
      </c>
      <c r="E382" s="2698">
        <f>SUM(E380:E381)</f>
        <v/>
      </c>
      <c r="F382" s="2698">
        <f>SUM(F380:F381)</f>
        <v/>
      </c>
      <c r="G382" s="2699">
        <f>SUM(G380:G381)</f>
        <v/>
      </c>
      <c r="H382" s="2698">
        <f>SUM(H380:H381)</f>
        <v/>
      </c>
      <c r="I382" s="2700">
        <f>SUM(I380:I381)</f>
        <v/>
      </c>
      <c r="J382" s="2700">
        <f>SUM(J380:J381)</f>
        <v/>
      </c>
      <c r="K382" s="2700">
        <f>SUM(K380:K381)</f>
        <v/>
      </c>
      <c r="L382" s="2700">
        <f>SUM(L380:L381)</f>
        <v/>
      </c>
      <c r="M382" s="2700">
        <f>SUM(M380:M381)</f>
        <v/>
      </c>
      <c r="N382" s="2700">
        <f>SUM(N380:N381)</f>
        <v/>
      </c>
      <c r="O382" s="2700">
        <f>SUM(O380:O381)</f>
        <v/>
      </c>
      <c r="P382" s="2700">
        <f>SUM(P380:P381)</f>
        <v/>
      </c>
      <c r="Q382" s="2701">
        <f>SUM(Q380:Q381)</f>
        <v/>
      </c>
      <c r="R382" s="2702">
        <f>'[5]FY18 CFG Prev'!Q382</f>
        <v/>
      </c>
      <c r="T382" s="2362" t="n"/>
      <c r="U382" s="2362" t="n"/>
      <c r="V382" s="2702">
        <f>Q382-R382</f>
        <v/>
      </c>
      <c r="W382" s="2362" t="n"/>
      <c r="X382" s="2362" t="n"/>
    </row>
    <row customFormat="1" r="383" s="2362" spans="1:33">
      <c r="A383" s="2703" t="n">
        <v>892</v>
      </c>
      <c r="B383" s="529">
        <f>A383/$A$385</f>
        <v/>
      </c>
      <c r="C383" s="1324" t="s">
        <v>52</v>
      </c>
      <c r="D383" s="2704" t="s">
        <v>316</v>
      </c>
      <c r="E383" s="2705" t="n">
        <v>277913.27</v>
      </c>
      <c r="F383" s="2705" t="n">
        <v>277913.27</v>
      </c>
      <c r="G383" s="2706" t="n">
        <v>277913.27</v>
      </c>
      <c r="H383" s="2705" t="n">
        <v>277913.27</v>
      </c>
      <c r="I383" s="2707" t="n">
        <v>290629.78</v>
      </c>
      <c r="J383" s="2707" t="n">
        <v>290629.78</v>
      </c>
      <c r="K383" s="2707" t="n">
        <v>276957.08</v>
      </c>
      <c r="L383" s="2707" t="n">
        <v>276957.08</v>
      </c>
      <c r="M383" s="2707" t="n">
        <v>276957.08</v>
      </c>
      <c r="N383" s="2707" t="n">
        <v>276957.08</v>
      </c>
      <c r="O383" s="2707" t="n">
        <v>276957.08</v>
      </c>
      <c r="P383" s="2707" t="n">
        <v>276957.08</v>
      </c>
      <c r="Q383" s="2705">
        <f>SUM(E383:P383)</f>
        <v/>
      </c>
      <c r="R383" s="2504" t="n"/>
      <c r="T383" s="2362" t="n"/>
      <c r="U383" s="2362" t="n"/>
      <c r="V383" s="2362" t="n"/>
      <c r="W383" s="2362" t="n"/>
      <c r="X383" s="2362" t="n"/>
    </row>
    <row customFormat="1" r="384" s="2362" spans="1:33">
      <c r="A384" s="2703" t="n">
        <v>261</v>
      </c>
      <c r="B384" s="529">
        <f>A384/$A$385</f>
        <v/>
      </c>
      <c r="C384" s="1324" t="s">
        <v>54</v>
      </c>
      <c r="D384" s="2704" t="s">
        <v>317</v>
      </c>
      <c r="E384" s="2705" t="n">
        <v>7362.66</v>
      </c>
      <c r="F384" s="2705" t="n">
        <v>7362.66</v>
      </c>
      <c r="G384" s="2706" t="n">
        <v>7362.66</v>
      </c>
      <c r="H384" s="2705" t="n">
        <v>7362.66</v>
      </c>
      <c r="I384" s="2707" t="n">
        <v>7648.06</v>
      </c>
      <c r="J384" s="2707" t="n">
        <v>7648.06</v>
      </c>
      <c r="K384" s="2707" t="n">
        <v>7288.26</v>
      </c>
      <c r="L384" s="2707" t="n">
        <v>7288.26</v>
      </c>
      <c r="M384" s="2707" t="n">
        <v>7288.26</v>
      </c>
      <c r="N384" s="2707" t="n">
        <v>7288.26</v>
      </c>
      <c r="O384" s="2707" t="n">
        <v>7288.26</v>
      </c>
      <c r="P384" s="2707" t="n">
        <v>7288.26</v>
      </c>
      <c r="Q384" s="2705">
        <f>SUM(E384:P384)</f>
        <v/>
      </c>
      <c r="R384" s="2504" t="n"/>
      <c r="T384" s="2362" t="n"/>
      <c r="U384" s="2362" t="n"/>
      <c r="V384" s="2362" t="n"/>
      <c r="W384" s="2362" t="n"/>
      <c r="X384" s="2362" t="n"/>
    </row>
    <row customFormat="1" r="385" s="2362" spans="1:33">
      <c r="A385" s="2703">
        <f>SUM(A383:A384)</f>
        <v/>
      </c>
      <c r="B385" s="2697" t="n"/>
      <c r="C385" s="1324" t="n"/>
      <c r="D385" s="2704" t="s">
        <v>80</v>
      </c>
      <c r="E385" s="2705">
        <f>SUM(E383:E384)</f>
        <v/>
      </c>
      <c r="F385" s="2705">
        <f>SUM(F383:F384)</f>
        <v/>
      </c>
      <c r="G385" s="2705">
        <f>SUM(G383:G384)</f>
        <v/>
      </c>
      <c r="H385" s="2705">
        <f>SUM(H383:H384)</f>
        <v/>
      </c>
      <c r="I385" s="2705">
        <f>SUM(I383:I384)</f>
        <v/>
      </c>
      <c r="J385" s="2705">
        <f>SUM(J383:J384)</f>
        <v/>
      </c>
      <c r="K385" s="2705">
        <f>SUM(K383:K384)</f>
        <v/>
      </c>
      <c r="L385" s="2705">
        <f>SUM(L383:L384)</f>
        <v/>
      </c>
      <c r="M385" s="2705">
        <f>SUM(M383:M384)</f>
        <v/>
      </c>
      <c r="N385" s="2705">
        <f>SUM(N383:N384)</f>
        <v/>
      </c>
      <c r="O385" s="2705">
        <f>SUM(O383:O384)</f>
        <v/>
      </c>
      <c r="P385" s="2705">
        <f>SUM(P383:P384)</f>
        <v/>
      </c>
      <c r="Q385" s="2708">
        <f>SUM(Q383:Q384)</f>
        <v/>
      </c>
      <c r="R385" s="2709" t="n"/>
      <c r="T385" s="2362" t="n"/>
    </row>
    <row customFormat="1" r="386" s="2362" spans="1:33">
      <c r="A386" s="2377" t="n"/>
      <c r="B386" s="2362" t="n"/>
      <c r="C386" s="1324" t="n"/>
      <c r="D386" s="2710" t="s">
        <v>318</v>
      </c>
      <c r="E386" s="2711">
        <f>E385*$B$383</f>
        <v/>
      </c>
      <c r="F386" s="2711">
        <f>F385*$B$383</f>
        <v/>
      </c>
      <c r="G386" s="2711">
        <f>G385*$B$383</f>
        <v/>
      </c>
      <c r="H386" s="2711">
        <f>H385*$B$383</f>
        <v/>
      </c>
      <c r="I386" s="2711">
        <f>I385*$B$383</f>
        <v/>
      </c>
      <c r="J386" s="2711">
        <f>J385*$B$383</f>
        <v/>
      </c>
      <c r="K386" s="2711">
        <f>K385*$B$383</f>
        <v/>
      </c>
      <c r="L386" s="2711">
        <f>L385*$B$383</f>
        <v/>
      </c>
      <c r="M386" s="2711">
        <f>M385*$B$383</f>
        <v/>
      </c>
      <c r="N386" s="2711">
        <f>N385*$B$383</f>
        <v/>
      </c>
      <c r="O386" s="2711">
        <f>O385*$B$383</f>
        <v/>
      </c>
      <c r="P386" s="2711">
        <f>P385*$B$383</f>
        <v/>
      </c>
      <c r="Q386" s="2711">
        <f>SUM(E386:P386)</f>
        <v/>
      </c>
      <c r="R386" s="2504" t="n"/>
      <c r="T386" s="2362" t="n"/>
    </row>
    <row customFormat="1" r="387" s="2362" spans="1:33">
      <c r="A387" s="2377" t="n"/>
      <c r="B387" s="2712" t="n"/>
      <c r="C387" s="1324" t="n"/>
      <c r="D387" s="2710" t="s">
        <v>319</v>
      </c>
      <c r="E387" s="2711">
        <f>E385*$B$384</f>
        <v/>
      </c>
      <c r="F387" s="2711">
        <f>F385*$B$384</f>
        <v/>
      </c>
      <c r="G387" s="2711">
        <f>G385*$B$384</f>
        <v/>
      </c>
      <c r="H387" s="2711">
        <f>H385*$B$384</f>
        <v/>
      </c>
      <c r="I387" s="2711">
        <f>I385*$B$384</f>
        <v/>
      </c>
      <c r="J387" s="2711">
        <f>J385*$B$384</f>
        <v/>
      </c>
      <c r="K387" s="2711">
        <f>K385*$B$384</f>
        <v/>
      </c>
      <c r="L387" s="2711">
        <f>L385*$B$384</f>
        <v/>
      </c>
      <c r="M387" s="2711">
        <f>M385*$B$384</f>
        <v/>
      </c>
      <c r="N387" s="2711">
        <f>N385*$B$384</f>
        <v/>
      </c>
      <c r="O387" s="2711">
        <f>O385*$B$384</f>
        <v/>
      </c>
      <c r="P387" s="2711">
        <f>P385*$B$384</f>
        <v/>
      </c>
      <c r="Q387" s="2711">
        <f>SUM(E387:P387)</f>
        <v/>
      </c>
      <c r="R387" s="2504" t="n"/>
      <c r="T387" s="2362" t="n"/>
    </row>
    <row customFormat="1" r="388" s="2362" spans="1:33">
      <c r="A388" s="2377" t="n"/>
      <c r="B388" s="2712" t="n"/>
      <c r="C388" s="1324" t="n"/>
      <c r="D388" s="2710" t="s">
        <v>80</v>
      </c>
      <c r="E388" s="2711">
        <f>SUM(E386:E387)</f>
        <v/>
      </c>
      <c r="F388" s="2711">
        <f>SUM(F386:F387)</f>
        <v/>
      </c>
      <c r="G388" s="2711">
        <f>SUM(G386:G387)</f>
        <v/>
      </c>
      <c r="H388" s="2711">
        <f>SUM(H386:H387)</f>
        <v/>
      </c>
      <c r="I388" s="2711">
        <f>SUM(I386:I387)</f>
        <v/>
      </c>
      <c r="J388" s="2711">
        <f>SUM(J386:J387)</f>
        <v/>
      </c>
      <c r="K388" s="2711">
        <f>SUM(K386:K387)</f>
        <v/>
      </c>
      <c r="L388" s="2711">
        <f>SUM(L386:L387)</f>
        <v/>
      </c>
      <c r="M388" s="2711">
        <f>SUM(M386:M387)</f>
        <v/>
      </c>
      <c r="N388" s="2711">
        <f>SUM(N386:N387)</f>
        <v/>
      </c>
      <c r="O388" s="2711">
        <f>SUM(O386:O387)</f>
        <v/>
      </c>
      <c r="P388" s="2711">
        <f>SUM(P386:P387)</f>
        <v/>
      </c>
      <c r="Q388" s="2713">
        <f>SUM(E388:P388)</f>
        <v/>
      </c>
      <c r="R388" s="2504" t="n"/>
      <c r="T388" s="2362" t="n"/>
    </row>
    <row customFormat="1" r="389" s="2362" spans="1:33">
      <c r="B389" s="2712" t="n"/>
      <c r="C389" s="1324" t="n"/>
      <c r="D389" s="2689" t="s">
        <v>320</v>
      </c>
      <c r="E389" s="2691">
        <f>E380-E383+E386</f>
        <v/>
      </c>
      <c r="F389" s="2691">
        <f>F380-F383+F386</f>
        <v/>
      </c>
      <c r="G389" s="2691">
        <f>G380-G383+G386</f>
        <v/>
      </c>
      <c r="H389" s="2691">
        <f>H380-H383+H386</f>
        <v/>
      </c>
      <c r="I389" s="2691">
        <f>I380-I383+I386</f>
        <v/>
      </c>
      <c r="J389" s="2691">
        <f>J380-J383+J386</f>
        <v/>
      </c>
      <c r="K389" s="2691">
        <f>K380-K383+K386</f>
        <v/>
      </c>
      <c r="L389" s="2691">
        <f>L380-L383+L386</f>
        <v/>
      </c>
      <c r="M389" s="2691">
        <f>M380-M383+M386</f>
        <v/>
      </c>
      <c r="N389" s="2691">
        <f>N380-N383+N386</f>
        <v/>
      </c>
      <c r="O389" s="2691">
        <f>O380-O383+O386</f>
        <v/>
      </c>
      <c r="P389" s="2691">
        <f>P380-P383+P386</f>
        <v/>
      </c>
      <c r="Q389" s="2691">
        <f>SUM(E389:P389)</f>
        <v/>
      </c>
      <c r="R389" s="2504" t="n"/>
      <c r="T389" s="2362" t="n"/>
    </row>
    <row customFormat="1" r="390" s="2362" spans="1:33">
      <c r="B390" s="2362" t="n"/>
      <c r="C390" s="1324" t="n"/>
      <c r="D390" s="2689" t="s">
        <v>321</v>
      </c>
      <c r="E390" s="2691">
        <f>E381-E384+E387</f>
        <v/>
      </c>
      <c r="F390" s="2691">
        <f>F381-F384+F387</f>
        <v/>
      </c>
      <c r="G390" s="2691">
        <f>G381-G384+G387</f>
        <v/>
      </c>
      <c r="H390" s="2691">
        <f>H381-H384+H387</f>
        <v/>
      </c>
      <c r="I390" s="2691">
        <f>I381-I384+I387</f>
        <v/>
      </c>
      <c r="J390" s="2691">
        <f>J381-J384+J387</f>
        <v/>
      </c>
      <c r="K390" s="2691">
        <f>K381-K384+K387</f>
        <v/>
      </c>
      <c r="L390" s="2691">
        <f>L381-L384+L387</f>
        <v/>
      </c>
      <c r="M390" s="2691">
        <f>M381-M384+M387</f>
        <v/>
      </c>
      <c r="N390" s="2691">
        <f>N381-N384+N387</f>
        <v/>
      </c>
      <c r="O390" s="2691">
        <f>O381-O384+O387</f>
        <v/>
      </c>
      <c r="P390" s="2691">
        <f>P381-P384+P387</f>
        <v/>
      </c>
      <c r="Q390" s="2714">
        <f>SUM(E390:P390)</f>
        <v/>
      </c>
      <c r="R390" s="2504" t="n"/>
      <c r="T390" s="2362" t="n"/>
    </row>
    <row customFormat="1" r="391" s="2362" spans="1:33">
      <c r="B391" s="2362" t="n"/>
      <c r="C391" s="1324" t="n"/>
      <c r="D391" s="2689" t="s">
        <v>80</v>
      </c>
      <c r="E391" s="2715">
        <f>SUM(E389:E390)</f>
        <v/>
      </c>
      <c r="F391" s="2715">
        <f>SUM(F389:F390)</f>
        <v/>
      </c>
      <c r="G391" s="2715">
        <f>SUM(G389:G390)</f>
        <v/>
      </c>
      <c r="H391" s="2715">
        <f>SUM(H389:H390)</f>
        <v/>
      </c>
      <c r="I391" s="2715">
        <f>SUM(I389:I390)</f>
        <v/>
      </c>
      <c r="J391" s="2715">
        <f>SUM(J389:J390)</f>
        <v/>
      </c>
      <c r="K391" s="2715">
        <f>SUM(K389:K390)</f>
        <v/>
      </c>
      <c r="L391" s="2715">
        <f>SUM(L389:L390)</f>
        <v/>
      </c>
      <c r="M391" s="2715">
        <f>SUM(M389:M390)</f>
        <v/>
      </c>
      <c r="N391" s="2715">
        <f>SUM(N389:N390)</f>
        <v/>
      </c>
      <c r="O391" s="2715">
        <f>SUM(O389:O390)</f>
        <v/>
      </c>
      <c r="P391" s="2715">
        <f>SUM(P389:P390)</f>
        <v/>
      </c>
      <c r="Q391" s="2716">
        <f>SUM(Q389:Q390)</f>
        <v/>
      </c>
      <c r="R391" s="2504" t="n"/>
      <c r="T391" s="2362" t="n"/>
    </row>
    <row customFormat="1" r="392" s="2362" spans="1:33">
      <c r="B392" s="2362" t="n"/>
      <c r="C392" s="1324" t="n"/>
      <c r="D392" s="2717" t="n"/>
      <c r="E392" s="2718" t="n"/>
      <c r="F392" s="2718" t="n"/>
      <c r="G392" s="2718" t="n"/>
      <c r="H392" s="2718" t="n"/>
      <c r="I392" s="2718" t="n"/>
      <c r="J392" s="2718" t="n"/>
      <c r="K392" s="2718" t="n"/>
      <c r="L392" s="2718" t="n"/>
      <c r="M392" s="2718" t="n"/>
      <c r="N392" s="2718" t="n"/>
      <c r="O392" s="2718" t="n"/>
      <c r="P392" s="2718" t="n"/>
      <c r="Q392" s="2718" t="n"/>
      <c r="R392" s="2504" t="n"/>
      <c r="T392" s="2362" t="n"/>
    </row>
    <row customFormat="1" r="393" s="2362" spans="1:33">
      <c r="A393" s="2719" t="n"/>
      <c r="B393" s="2362" t="n"/>
      <c r="C393" s="759" t="s">
        <v>322</v>
      </c>
      <c r="D393" s="2720" t="s">
        <v>323</v>
      </c>
      <c r="E393" s="2721" t="n">
        <v>152700.34</v>
      </c>
      <c r="F393" s="2721" t="n">
        <v>132043.78</v>
      </c>
      <c r="G393" s="2722" t="n">
        <v>170667.2</v>
      </c>
      <c r="H393" s="2722" t="n">
        <v>151559.23</v>
      </c>
      <c r="I393" s="2723" t="n">
        <v>153200</v>
      </c>
      <c r="J393" s="2723" t="n">
        <v>153200</v>
      </c>
      <c r="K393" s="2723" t="n">
        <v>153700</v>
      </c>
      <c r="L393" s="2723" t="n">
        <v>153700</v>
      </c>
      <c r="M393" s="2723" t="n">
        <v>153700</v>
      </c>
      <c r="N393" s="2723" t="n">
        <v>153700</v>
      </c>
      <c r="O393" s="2723" t="n">
        <v>153700</v>
      </c>
      <c r="P393" s="2723" t="n">
        <v>153700</v>
      </c>
      <c r="Q393" s="2724">
        <f>SUM(E393:P393)</f>
        <v/>
      </c>
      <c r="R393" s="2504" t="n"/>
      <c r="T393" s="2362" t="n"/>
    </row>
    <row customFormat="1" r="394" s="2362" spans="1:33">
      <c r="B394" s="2362" t="n"/>
      <c r="C394" s="1324" t="n"/>
      <c r="D394" s="2720" t="s">
        <v>324</v>
      </c>
      <c r="E394" s="2721" t="n">
        <v>4785.91</v>
      </c>
      <c r="F394" s="2721" t="n">
        <v>5083.68</v>
      </c>
      <c r="G394" s="2722" t="n">
        <v>3918.1</v>
      </c>
      <c r="H394" s="2722" t="n">
        <v>4857.72</v>
      </c>
      <c r="I394" s="2723" t="n">
        <v>22632.6</v>
      </c>
      <c r="J394" s="2723" t="n">
        <v>22632.6</v>
      </c>
      <c r="K394" s="2723" t="n">
        <v>23286.9</v>
      </c>
      <c r="L394" s="2723" t="n">
        <v>23286.9</v>
      </c>
      <c r="M394" s="2723" t="n">
        <v>23286.9</v>
      </c>
      <c r="N394" s="2723" t="n">
        <v>23286.9</v>
      </c>
      <c r="O394" s="2723" t="n">
        <v>23286.9</v>
      </c>
      <c r="P394" s="2723" t="n">
        <v>23286.9</v>
      </c>
      <c r="Q394" s="2721">
        <f>SUM(E394:P394)</f>
        <v/>
      </c>
      <c r="R394" s="2504" t="n"/>
      <c r="T394" s="2362" t="n"/>
    </row>
    <row customFormat="1" r="395" s="2362" spans="1:33">
      <c r="B395" s="2362" t="n"/>
      <c r="C395" s="1324" t="n"/>
      <c r="D395" s="2720" t="s">
        <v>325</v>
      </c>
      <c r="E395" s="2721" t="n">
        <v>2505.85</v>
      </c>
      <c r="F395" s="2721" t="n">
        <v>2505.85</v>
      </c>
      <c r="G395" s="2722" t="n">
        <v>2510.72</v>
      </c>
      <c r="H395" s="2722" t="n">
        <v>2510.72</v>
      </c>
      <c r="I395" s="2723" t="n">
        <v>3529.64</v>
      </c>
      <c r="J395" s="2723" t="n">
        <v>3529.64</v>
      </c>
      <c r="K395" s="2723" t="n">
        <v>3532.64</v>
      </c>
      <c r="L395" s="2723" t="n">
        <v>3532.64</v>
      </c>
      <c r="M395" s="2723" t="n">
        <v>3532.64</v>
      </c>
      <c r="N395" s="2723" t="n">
        <v>3532.64</v>
      </c>
      <c r="O395" s="2723" t="n">
        <v>3532.64</v>
      </c>
      <c r="P395" s="2723" t="n">
        <v>3532.64</v>
      </c>
      <c r="Q395" s="2721">
        <f>SUM(E395:P395)</f>
        <v/>
      </c>
      <c r="R395" s="2504" t="n"/>
      <c r="T395" s="2362" t="n"/>
    </row>
    <row customFormat="1" r="396" s="2362" spans="1:33">
      <c r="B396" s="2362" t="n"/>
      <c r="C396" s="1324" t="n"/>
      <c r="D396" s="2720" t="s">
        <v>326</v>
      </c>
      <c r="E396" s="2721" t="n">
        <v>0</v>
      </c>
      <c r="F396" s="2721" t="n">
        <v>1803.42</v>
      </c>
      <c r="G396" s="2722" t="n">
        <v>1818.96</v>
      </c>
      <c r="H396" s="2722" t="n">
        <v>1818.96</v>
      </c>
      <c r="I396" s="2723" t="n">
        <v>7500</v>
      </c>
      <c r="J396" s="2723" t="n">
        <v>7500</v>
      </c>
      <c r="K396" s="2723" t="n">
        <v>8500</v>
      </c>
      <c r="L396" s="2723" t="n">
        <v>8500</v>
      </c>
      <c r="M396" s="2723" t="n">
        <v>8500</v>
      </c>
      <c r="N396" s="2723" t="n">
        <v>8500</v>
      </c>
      <c r="O396" s="2723" t="n">
        <v>8500</v>
      </c>
      <c r="P396" s="2723" t="n">
        <v>8500</v>
      </c>
      <c r="Q396" s="2721">
        <f>SUM(E396:P396)</f>
        <v/>
      </c>
      <c r="R396" s="2504" t="n"/>
      <c r="T396" s="2362" t="n"/>
    </row>
    <row customFormat="1" r="397" s="2362" spans="1:33">
      <c r="B397" s="2362" t="n"/>
      <c r="C397" s="1324" t="n"/>
      <c r="D397" s="2720" t="s">
        <v>327</v>
      </c>
      <c r="E397" s="2721" t="n">
        <v>3724.91</v>
      </c>
      <c r="F397" s="2721" t="n">
        <v>3200.89</v>
      </c>
      <c r="G397" s="2722" t="n">
        <v>6996.42</v>
      </c>
      <c r="H397" s="2722" t="n">
        <v>4281.13</v>
      </c>
      <c r="I397" s="2723" t="n">
        <v>2792.96</v>
      </c>
      <c r="J397" s="2723" t="n">
        <v>2792.96</v>
      </c>
      <c r="K397" s="2723" t="n">
        <v>3624.86</v>
      </c>
      <c r="L397" s="2723" t="n">
        <v>3624.86</v>
      </c>
      <c r="M397" s="2723" t="n">
        <v>3624.86</v>
      </c>
      <c r="N397" s="2723" t="n">
        <v>3624.86</v>
      </c>
      <c r="O397" s="2723" t="n">
        <v>3624.86</v>
      </c>
      <c r="P397" s="2723" t="n">
        <v>3624.86</v>
      </c>
      <c r="Q397" s="2721">
        <f>SUM(E397:P397)</f>
        <v/>
      </c>
      <c r="R397" s="2504" t="n"/>
      <c r="T397" s="2362" t="n"/>
    </row>
    <row customFormat="1" r="398" s="2362" spans="1:33">
      <c r="B398" s="2362" t="n"/>
      <c r="C398" s="1324" t="n"/>
      <c r="D398" s="2720" t="s">
        <v>328</v>
      </c>
      <c r="E398" s="2721" t="n">
        <v>2330.1</v>
      </c>
      <c r="F398" s="2721" t="n">
        <v>5159.16</v>
      </c>
      <c r="G398" s="2722" t="n">
        <v>5183.55</v>
      </c>
      <c r="H398" s="2722" t="n">
        <v>9648.82</v>
      </c>
      <c r="I398" s="2723" t="n">
        <v>6000</v>
      </c>
      <c r="J398" s="2723" t="n">
        <v>6000</v>
      </c>
      <c r="K398" s="2723" t="n">
        <v>6000</v>
      </c>
      <c r="L398" s="2723" t="n">
        <v>6000</v>
      </c>
      <c r="M398" s="2723" t="n">
        <v>6000</v>
      </c>
      <c r="N398" s="2723" t="n">
        <v>6000</v>
      </c>
      <c r="O398" s="2723" t="n">
        <v>6000</v>
      </c>
      <c r="P398" s="2723" t="n">
        <v>6000</v>
      </c>
      <c r="Q398" s="2721">
        <f>SUM(E398:P398)</f>
        <v/>
      </c>
      <c r="R398" s="2504" t="n"/>
      <c r="T398" s="2362" t="n"/>
    </row>
    <row customFormat="1" r="399" s="2362" spans="1:33">
      <c r="B399" s="2362" t="n"/>
      <c r="C399" s="1324" t="n"/>
      <c r="D399" s="2725" t="s">
        <v>329</v>
      </c>
      <c r="E399" s="2726">
        <f>E393*E350/E355</f>
        <v/>
      </c>
      <c r="F399" s="2726">
        <f>F393*F350/F355</f>
        <v/>
      </c>
      <c r="G399" s="2726">
        <f>G393*G350/G355</f>
        <v/>
      </c>
      <c r="H399" s="2726">
        <f>H393*H350/H355</f>
        <v/>
      </c>
      <c r="I399" s="2726">
        <f>I393*I350/I355</f>
        <v/>
      </c>
      <c r="J399" s="2726">
        <f>J393*J350/J355</f>
        <v/>
      </c>
      <c r="K399" s="2726">
        <f>K393*K350/K355</f>
        <v/>
      </c>
      <c r="L399" s="2726">
        <f>L393*L350/L355</f>
        <v/>
      </c>
      <c r="M399" s="2726">
        <f>M393*M350/M355</f>
        <v/>
      </c>
      <c r="N399" s="2726">
        <f>N393*N350/N355</f>
        <v/>
      </c>
      <c r="O399" s="2726">
        <f>O393*O350/O355</f>
        <v/>
      </c>
      <c r="P399" s="2726">
        <f>P393*P350/P355</f>
        <v/>
      </c>
      <c r="Q399" s="2727">
        <f>SUM(E399:P399)</f>
        <v/>
      </c>
      <c r="R399" s="2504" t="n"/>
      <c r="T399" s="2362" t="n"/>
    </row>
    <row customFormat="1" r="400" s="2362" spans="1:33">
      <c r="B400" s="2362" t="n"/>
      <c r="C400" s="1324" t="n"/>
      <c r="D400" s="2725" t="s">
        <v>330</v>
      </c>
      <c r="E400" s="2727">
        <f>E393*E351/E355</f>
        <v/>
      </c>
      <c r="F400" s="2727">
        <f>F393*F351/F355</f>
        <v/>
      </c>
      <c r="G400" s="2727">
        <f>G393*G351/G355</f>
        <v/>
      </c>
      <c r="H400" s="2727">
        <f>H393*H351/H355</f>
        <v/>
      </c>
      <c r="I400" s="2727">
        <f>I393*I351/I355</f>
        <v/>
      </c>
      <c r="J400" s="2727">
        <f>J393*J351/J355</f>
        <v/>
      </c>
      <c r="K400" s="2727">
        <f>K393*K351/K355</f>
        <v/>
      </c>
      <c r="L400" s="2727">
        <f>L393*L351/L355</f>
        <v/>
      </c>
      <c r="M400" s="2727">
        <f>M393*M351/M355</f>
        <v/>
      </c>
      <c r="N400" s="2727">
        <f>N393*N351/N355</f>
        <v/>
      </c>
      <c r="O400" s="2727">
        <f>O393*O351/O355</f>
        <v/>
      </c>
      <c r="P400" s="2727">
        <f>P393*P351/P355</f>
        <v/>
      </c>
      <c r="Q400" s="2727">
        <f>SUM(E400:P400)</f>
        <v/>
      </c>
      <c r="R400" s="2504" t="n"/>
      <c r="T400" s="2362" t="n"/>
    </row>
    <row r="401" spans="1:33">
      <c r="D401" s="2725" t="s">
        <v>331</v>
      </c>
      <c r="E401" s="2727">
        <f>E393*E352/E355</f>
        <v/>
      </c>
      <c r="F401" s="2727">
        <f>F393*F352/F355</f>
        <v/>
      </c>
      <c r="G401" s="2727">
        <f>G393*G352/G355</f>
        <v/>
      </c>
      <c r="H401" s="2727">
        <f>H393*H352/H355</f>
        <v/>
      </c>
      <c r="I401" s="2727">
        <f>I393*I352/I355</f>
        <v/>
      </c>
      <c r="J401" s="2727">
        <f>J393*J352/J355</f>
        <v/>
      </c>
      <c r="K401" s="2727">
        <f>K393*K352/K355</f>
        <v/>
      </c>
      <c r="L401" s="2727">
        <f>L393*L352/L355</f>
        <v/>
      </c>
      <c r="M401" s="2727">
        <f>M393*M352/M355</f>
        <v/>
      </c>
      <c r="N401" s="2727">
        <f>N393*N352/N355</f>
        <v/>
      </c>
      <c r="O401" s="2727">
        <f>O393*O352/O355</f>
        <v/>
      </c>
      <c r="P401" s="2727">
        <f>P393*P352/P355</f>
        <v/>
      </c>
      <c r="Q401" s="2727">
        <f>SUM(E401:P401)</f>
        <v/>
      </c>
      <c r="S401" s="2362" t="n"/>
      <c r="T401" s="2362" t="n"/>
    </row>
    <row r="402" spans="1:33">
      <c r="D402" s="2725" t="s">
        <v>332</v>
      </c>
      <c r="E402" s="2726">
        <f>E393*E353/E355</f>
        <v/>
      </c>
      <c r="F402" s="2726">
        <f>F393*F353/F355</f>
        <v/>
      </c>
      <c r="G402" s="2726">
        <f>G393*G353/G355</f>
        <v/>
      </c>
      <c r="H402" s="2726">
        <f>H393*H353/H355</f>
        <v/>
      </c>
      <c r="I402" s="2726">
        <f>I393*I353/I355</f>
        <v/>
      </c>
      <c r="J402" s="2726">
        <f>J393*J353/J355</f>
        <v/>
      </c>
      <c r="K402" s="2726">
        <f>K393*K353/K355</f>
        <v/>
      </c>
      <c r="L402" s="2726">
        <f>L393*L353/L355</f>
        <v/>
      </c>
      <c r="M402" s="2726">
        <f>M393*M353/M355</f>
        <v/>
      </c>
      <c r="N402" s="2726">
        <f>N393*N353/N355</f>
        <v/>
      </c>
      <c r="O402" s="2726">
        <f>O393*O353/O355</f>
        <v/>
      </c>
      <c r="P402" s="2726">
        <f>P393*P353/P355</f>
        <v/>
      </c>
      <c r="Q402" s="2727">
        <f>SUM(E402:P402)</f>
        <v/>
      </c>
      <c r="S402" s="2362" t="n"/>
      <c r="T402" s="2362" t="n"/>
    </row>
    <row r="403" spans="1:33">
      <c r="D403" s="2725" t="s">
        <v>333</v>
      </c>
      <c r="E403" s="2726">
        <f>E393*E354/E355</f>
        <v/>
      </c>
      <c r="F403" s="2726">
        <f>F393*F354/F355</f>
        <v/>
      </c>
      <c r="G403" s="2726">
        <f>G393*G354/G355</f>
        <v/>
      </c>
      <c r="H403" s="2726">
        <f>H393*H354/H355</f>
        <v/>
      </c>
      <c r="I403" s="2726">
        <f>I393*I354/I355</f>
        <v/>
      </c>
      <c r="J403" s="2726">
        <f>J393*J354/J355</f>
        <v/>
      </c>
      <c r="K403" s="2726">
        <f>K393*K354/K355</f>
        <v/>
      </c>
      <c r="L403" s="2726">
        <f>L393*L354/L355</f>
        <v/>
      </c>
      <c r="M403" s="2726">
        <f>M393*M354/M355</f>
        <v/>
      </c>
      <c r="N403" s="2726">
        <f>N393*N354/N355</f>
        <v/>
      </c>
      <c r="O403" s="2726">
        <f>O393*O354/O355</f>
        <v/>
      </c>
      <c r="P403" s="2726">
        <f>P393*P354/P355</f>
        <v/>
      </c>
      <c r="Q403" s="2727">
        <f>SUM(E403:P403)</f>
        <v/>
      </c>
      <c r="S403" s="2362" t="n"/>
      <c r="T403" s="2362" t="n"/>
    </row>
    <row r="404" spans="1:33">
      <c r="D404" s="2717" t="n"/>
      <c r="E404" s="2718" t="n"/>
      <c r="F404" s="2718" t="n"/>
      <c r="G404" s="2718" t="n"/>
      <c r="H404" s="2718" t="n"/>
      <c r="I404" s="2718" t="n"/>
      <c r="J404" s="2718" t="n"/>
      <c r="K404" s="2718" t="n"/>
      <c r="L404" s="2718" t="n"/>
      <c r="M404" s="2718" t="n"/>
      <c r="N404" s="2718" t="n"/>
      <c r="O404" s="2718" t="n"/>
      <c r="P404" s="2718" t="n"/>
      <c r="Q404" s="2718" t="n"/>
      <c r="S404" s="2362" t="n"/>
      <c r="T404" s="2362" t="n"/>
    </row>
    <row r="405" spans="1:33">
      <c r="A405" s="2728" t="n"/>
      <c r="B405" s="2728" t="n"/>
      <c r="C405" s="2728" t="n"/>
      <c r="E405" s="1784" t="n"/>
      <c r="J405" s="408" t="n"/>
      <c r="K405" s="2729" t="n"/>
      <c r="L405" s="2729" t="n"/>
      <c r="M405" s="408" t="n"/>
      <c r="N405" s="408" t="n"/>
      <c r="O405" s="408" t="n"/>
      <c r="P405" s="408" t="n"/>
      <c r="Q405" s="408" t="n"/>
      <c r="S405" s="2362" t="n"/>
      <c r="T405" s="2362" t="n"/>
    </row>
    <row r="406" spans="1:33">
      <c r="E406" s="408">
        <f>E364</f>
        <v/>
      </c>
      <c r="F406" s="408">
        <f>F364</f>
        <v/>
      </c>
      <c r="G406" s="408">
        <f>G364</f>
        <v/>
      </c>
      <c r="H406" s="408">
        <f>H364</f>
        <v/>
      </c>
      <c r="I406" s="408">
        <f>I364</f>
        <v/>
      </c>
      <c r="J406" s="408">
        <f>J364</f>
        <v/>
      </c>
      <c r="K406" s="408">
        <f>K364</f>
        <v/>
      </c>
      <c r="L406" s="408">
        <f>L364</f>
        <v/>
      </c>
      <c r="M406" s="408">
        <f>M364</f>
        <v/>
      </c>
      <c r="N406" s="408">
        <f>N364</f>
        <v/>
      </c>
      <c r="O406" s="408">
        <f>O364</f>
        <v/>
      </c>
      <c r="P406" s="1565">
        <f>P364</f>
        <v/>
      </c>
      <c r="Q406" s="408" t="s">
        <v>80</v>
      </c>
      <c r="S406" s="2362" t="n"/>
      <c r="T406" s="2362" t="n"/>
    </row>
    <row customHeight="1" ht="15" r="407" s="1843" spans="1:33">
      <c r="C407" s="759" t="n"/>
      <c r="D407" s="2730" t="s">
        <v>334</v>
      </c>
      <c r="E407" s="2731" t="n">
        <v>443441.5100000002</v>
      </c>
      <c r="F407" s="2731" t="n">
        <v>401855.4400000001</v>
      </c>
      <c r="G407" s="2732" t="n">
        <v>1739006.32</v>
      </c>
      <c r="H407" s="2731" t="n">
        <v>517850.8500000003</v>
      </c>
      <c r="I407" s="2733" t="n">
        <v>481593.0741</v>
      </c>
      <c r="J407" s="2734">
        <f>1924419.7041</f>
        <v/>
      </c>
      <c r="K407" s="2733">
        <f>480400.5841</f>
        <v/>
      </c>
      <c r="L407" s="2733" t="n">
        <v>492724.2141</v>
      </c>
      <c r="M407" s="2733" t="n">
        <v>1799124.7582</v>
      </c>
      <c r="N407" s="2733" t="n">
        <v>510622.5041</v>
      </c>
      <c r="O407" s="2733" t="n">
        <v>423741.2041</v>
      </c>
      <c r="P407" s="2735" t="n">
        <v>1861366.8282</v>
      </c>
      <c r="Q407" s="2736">
        <f>SUM(E407:P407)</f>
        <v/>
      </c>
      <c r="S407" s="2362" t="n"/>
      <c r="T407" s="2362" t="n"/>
      <c r="Y407" s="2702" t="n"/>
      <c r="Z407" s="2702" t="n"/>
      <c r="AA407" s="2702" t="n"/>
    </row>
    <row customHeight="1" ht="15" r="408" s="1843" spans="1:33">
      <c r="D408" s="2737" t="s">
        <v>335</v>
      </c>
      <c r="E408" s="2738">
        <f>E418</f>
        <v/>
      </c>
      <c r="F408" s="2738">
        <f>F418</f>
        <v/>
      </c>
      <c r="G408" s="2738">
        <f>G418</f>
        <v/>
      </c>
      <c r="H408" s="2738">
        <f>H418</f>
        <v/>
      </c>
      <c r="I408" s="2738">
        <f>I418</f>
        <v/>
      </c>
      <c r="J408" s="2738">
        <f>J418</f>
        <v/>
      </c>
      <c r="K408" s="2738">
        <f>K418</f>
        <v/>
      </c>
      <c r="L408" s="2738">
        <f>L418</f>
        <v/>
      </c>
      <c r="M408" s="2738">
        <f>M418</f>
        <v/>
      </c>
      <c r="N408" s="2738">
        <f>N418</f>
        <v/>
      </c>
      <c r="O408" s="2738">
        <f>O418</f>
        <v/>
      </c>
      <c r="P408" s="2738">
        <f>P418</f>
        <v/>
      </c>
      <c r="Q408" s="2739">
        <f>SUM(E408:P408)</f>
        <v/>
      </c>
      <c r="S408" s="2362" t="n"/>
      <c r="Y408" s="2702" t="n"/>
      <c r="Z408" s="2702" t="n"/>
      <c r="AA408" s="2702" t="n"/>
    </row>
    <row customHeight="1" ht="15" r="409" s="1843" spans="1:33">
      <c r="D409" s="2740" t="n"/>
      <c r="E409" s="2731" t="n"/>
      <c r="F409" s="2731" t="n"/>
      <c r="G409" s="2731" t="n"/>
      <c r="H409" s="2731" t="n"/>
      <c r="I409" s="2731" t="n"/>
      <c r="J409" s="2731" t="n"/>
      <c r="K409" s="2731" t="n"/>
      <c r="L409" s="2731" t="n"/>
      <c r="M409" s="2731" t="n"/>
      <c r="N409" s="2731" t="n"/>
      <c r="O409" s="2731" t="n"/>
      <c r="P409" s="2731" t="n"/>
      <c r="R409" s="2362" t="n"/>
      <c r="S409" s="2362" t="n"/>
      <c r="Y409" s="2702" t="n"/>
      <c r="Z409" s="2702" t="n"/>
      <c r="AA409" s="2702" t="n"/>
    </row>
    <row r="410" spans="1:33">
      <c r="E410" s="2741" t="n"/>
      <c r="F410" s="2741" t="n"/>
      <c r="G410" s="2377" t="n"/>
      <c r="H410" s="425" t="n"/>
      <c r="R410" s="2362" t="n"/>
      <c r="S410" s="2362" t="n"/>
      <c r="T410" s="2362" t="n"/>
      <c r="Y410" s="2702" t="n"/>
      <c r="Z410" s="2702" t="n"/>
      <c r="AA410" s="2702" t="n"/>
    </row>
    <row r="411" spans="1:33">
      <c r="D411" s="2742" t="s">
        <v>336</v>
      </c>
      <c r="E411" s="1443" t="n">
        <v>215253.69</v>
      </c>
      <c r="F411" s="1567" t="n">
        <v>220594.84</v>
      </c>
      <c r="G411" s="1567" t="n">
        <v>231730.15</v>
      </c>
      <c r="H411" s="1567" t="n">
        <v>220871.97</v>
      </c>
      <c r="I411" s="830" t="n">
        <v>241336.2181</v>
      </c>
      <c r="J411" s="830" t="n">
        <v>244053.7686</v>
      </c>
      <c r="K411" s="830" t="n">
        <v>241336.2181</v>
      </c>
      <c r="L411" s="830" t="n">
        <v>241336.2181</v>
      </c>
      <c r="M411" s="830">
        <f>248635.7349-23820.4</f>
        <v/>
      </c>
      <c r="N411" s="830" t="n">
        <v>241336.2181</v>
      </c>
      <c r="O411" s="830" t="n">
        <v>241336.2181</v>
      </c>
      <c r="P411" s="830" t="n">
        <v>263432.3044</v>
      </c>
      <c r="Q411" s="2718">
        <f>SUM(E411:P411)</f>
        <v/>
      </c>
      <c r="Y411" s="2702" t="n"/>
      <c r="Z411" s="2702" t="n"/>
      <c r="AA411" s="2702" t="n"/>
    </row>
    <row customHeight="1" ht="15" r="412" s="1843" spans="1:33">
      <c r="A412" s="2743" t="n"/>
      <c r="C412" s="1099" t="n"/>
      <c r="D412" s="2744" t="s">
        <v>337</v>
      </c>
      <c r="E412" s="2745" t="n">
        <v>93669.37</v>
      </c>
      <c r="F412" s="2718" t="n">
        <v>96456.5</v>
      </c>
      <c r="G412" s="2718" t="n">
        <v>90593.19</v>
      </c>
      <c r="H412" s="2718" t="n">
        <v>94947.24999999999</v>
      </c>
      <c r="I412" s="2746" t="n">
        <v>112056.2998</v>
      </c>
      <c r="J412" s="2746" t="n">
        <v>110207.9958</v>
      </c>
      <c r="K412" s="2746" t="n">
        <v>112056.2998</v>
      </c>
      <c r="L412" s="2746" t="n">
        <v>112056.2998</v>
      </c>
      <c r="M412" s="2746" t="n">
        <v>125873.3768</v>
      </c>
      <c r="N412" s="2746" t="n">
        <v>112056.2998</v>
      </c>
      <c r="O412" s="2746" t="n">
        <v>112056.2998</v>
      </c>
      <c r="P412" s="2746" t="n">
        <v>127721.6808</v>
      </c>
      <c r="Q412" s="2718">
        <f>SUM(E412:P412)</f>
        <v/>
      </c>
      <c r="Y412" s="2702" t="n"/>
      <c r="Z412" s="2702" t="n"/>
      <c r="AA412" s="2702" t="n"/>
    </row>
    <row customHeight="1" ht="15" r="413" s="1843" spans="1:33">
      <c r="A413" s="2743" t="n"/>
      <c r="B413" s="1324" t="n"/>
      <c r="C413" s="1099" t="n"/>
      <c r="D413" s="2747" t="s">
        <v>338</v>
      </c>
      <c r="E413" s="2718" t="n">
        <v>161440.81</v>
      </c>
      <c r="F413" s="2718" t="n">
        <v>167316.28</v>
      </c>
      <c r="G413" s="2718" t="n">
        <v>197596.34</v>
      </c>
      <c r="H413" s="2718" t="n">
        <v>164567.62</v>
      </c>
      <c r="I413" s="2746" t="n">
        <v>207095.917</v>
      </c>
      <c r="J413" s="2746" t="n">
        <v>207092.177</v>
      </c>
      <c r="K413" s="2746" t="n">
        <v>207095.917</v>
      </c>
      <c r="L413" s="2746" t="n">
        <v>207095.917</v>
      </c>
      <c r="M413" s="2746" t="n">
        <v>224984.8792</v>
      </c>
      <c r="N413" s="2746" t="n">
        <v>207095.917</v>
      </c>
      <c r="O413" s="2746" t="n">
        <v>207095.917</v>
      </c>
      <c r="P413" s="2746" t="n">
        <v>224988.6192</v>
      </c>
      <c r="Q413" s="2718">
        <f>SUM(E413:P413)</f>
        <v/>
      </c>
      <c r="R413" s="2718">
        <f>'[6]FY18 CFG'!Q413</f>
        <v/>
      </c>
      <c r="S413" s="2718" t="n"/>
      <c r="T413" s="2718" t="n"/>
      <c r="U413" s="2718" t="n"/>
      <c r="V413" s="2718">
        <f>Q413-R413</f>
        <v/>
      </c>
      <c r="Y413" s="2702" t="n"/>
      <c r="Z413" s="2702" t="n"/>
      <c r="AA413" s="2702" t="n"/>
    </row>
    <row customHeight="1" ht="15" r="414" s="1843" spans="1:33">
      <c r="A414" s="2743" t="n"/>
      <c r="C414" s="1099" t="n"/>
      <c r="D414" s="2748" t="s">
        <v>339</v>
      </c>
      <c r="E414" s="2718" t="n">
        <v>144172</v>
      </c>
      <c r="F414" s="2718" t="n">
        <v>150701.84</v>
      </c>
      <c r="G414" s="2718" t="n">
        <v>185841.14</v>
      </c>
      <c r="H414" s="2718" t="n">
        <v>143260.04</v>
      </c>
      <c r="I414" s="2746" t="n">
        <v>179291.6463</v>
      </c>
      <c r="J414" s="2746" t="n">
        <v>179291.6463</v>
      </c>
      <c r="K414" s="2746" t="n">
        <v>179291.6463</v>
      </c>
      <c r="L414" s="2746" t="n">
        <v>179291.6463</v>
      </c>
      <c r="M414" s="2746" t="n">
        <v>179291.6463</v>
      </c>
      <c r="N414" s="2746" t="n">
        <v>179291.6463</v>
      </c>
      <c r="O414" s="2746" t="n">
        <v>179291.6463</v>
      </c>
      <c r="P414" s="2746" t="n">
        <v>179291.6463</v>
      </c>
      <c r="Q414" s="2718">
        <f>SUM(E414:P414)</f>
        <v/>
      </c>
      <c r="R414" s="2718">
        <f>'[6]FY18 CFG'!Q414</f>
        <v/>
      </c>
      <c r="S414" s="2718" t="n">
        <v>73943.27179999929</v>
      </c>
      <c r="V414" s="2718">
        <f>Q414-R414</f>
        <v/>
      </c>
      <c r="Y414" s="2702" t="n"/>
      <c r="Z414" s="2702" t="n"/>
      <c r="AA414" s="2702" t="n"/>
    </row>
    <row r="415" spans="1:33">
      <c r="A415" s="2749" t="n"/>
      <c r="B415" s="2749" t="n"/>
      <c r="C415" s="2728" t="n"/>
      <c r="D415" s="1716" t="s">
        <v>340</v>
      </c>
      <c r="E415" s="1717" t="n">
        <v>843194.3899999999</v>
      </c>
      <c r="F415" s="1717" t="n">
        <v>856094.4399999999</v>
      </c>
      <c r="G415" s="1717" t="n">
        <v>820491.22</v>
      </c>
      <c r="H415" s="1717" t="n">
        <v>858119.9199999999</v>
      </c>
      <c r="I415" s="1718" t="n">
        <v>987391.9368</v>
      </c>
      <c r="J415" s="1718" t="n">
        <v>1000397.3972</v>
      </c>
      <c r="K415" s="1718" t="n">
        <v>987391.9368</v>
      </c>
      <c r="L415" s="1718" t="n">
        <v>987391.9368</v>
      </c>
      <c r="M415" s="1718" t="n">
        <v>1078148.8494</v>
      </c>
      <c r="N415" s="1718" t="n">
        <v>987391.9368</v>
      </c>
      <c r="O415" s="1718" t="n">
        <v>987391.9368</v>
      </c>
      <c r="P415" s="1718" t="n">
        <v>1065143.389</v>
      </c>
      <c r="Q415" s="2718">
        <f>SUM(E415:P415)</f>
        <v/>
      </c>
      <c r="R415" s="2362" t="n"/>
      <c r="S415" s="2362" t="n"/>
      <c r="Y415" s="2702" t="n"/>
      <c r="Z415" s="2702" t="n"/>
      <c r="AA415" s="2702" t="n"/>
    </row>
    <row r="416" spans="1:33">
      <c r="B416" s="1324" t="n"/>
      <c r="C416" s="1568" t="n"/>
      <c r="D416" s="1719" t="s">
        <v>341</v>
      </c>
      <c r="E416" s="1717" t="n">
        <v>1343916.01</v>
      </c>
      <c r="F416" s="1717" t="n">
        <v>1360163.01</v>
      </c>
      <c r="G416" s="1717" t="n">
        <v>1351839.49</v>
      </c>
      <c r="H416" s="1681" t="n">
        <v>1369919.87</v>
      </c>
      <c r="I416" s="1666">
        <f>1330079.6754+30000</f>
        <v/>
      </c>
      <c r="J416" s="1666" t="n">
        <v>1349238.6039</v>
      </c>
      <c r="K416" s="1666" t="n">
        <v>1330079.6754</v>
      </c>
      <c r="L416" s="1666" t="n">
        <v>1330079.6754</v>
      </c>
      <c r="M416" s="1666" t="n">
        <v>1458978.495</v>
      </c>
      <c r="N416" s="1666" t="n">
        <v>1330079.6754</v>
      </c>
      <c r="O416" s="1666" t="n">
        <v>1330079.6754</v>
      </c>
      <c r="P416" s="1666" t="n">
        <v>1439819.5665</v>
      </c>
      <c r="Q416" s="2718">
        <f>SUM(E416:P416)</f>
        <v/>
      </c>
      <c r="Y416" s="2702" t="n"/>
      <c r="Z416" s="2702" t="n"/>
      <c r="AA416" s="2702" t="n"/>
    </row>
    <row r="417" spans="1:33">
      <c r="B417" s="1324" t="n"/>
      <c r="E417" s="2741" t="n"/>
      <c r="F417" s="2741" t="n"/>
      <c r="G417" s="2741" t="n"/>
      <c r="H417" s="2741" t="n"/>
      <c r="I417" s="2741" t="n"/>
      <c r="J417" s="2741" t="n"/>
      <c r="K417" s="2741" t="n"/>
      <c r="L417" s="2741" t="n"/>
      <c r="M417" s="2741" t="n"/>
      <c r="N417" s="2741" t="n"/>
      <c r="O417" s="2741" t="n"/>
      <c r="P417" s="2741" t="n"/>
      <c r="Y417" s="2702" t="n"/>
      <c r="Z417" s="2702" t="n"/>
      <c r="AA417" s="2702" t="n"/>
    </row>
    <row customHeight="1" ht="15" r="418" s="1843" spans="1:33">
      <c r="D418" s="2750" t="s">
        <v>335</v>
      </c>
      <c r="E418" s="2751">
        <f>SUM(E419:E428)</f>
        <v/>
      </c>
      <c r="F418" s="2751">
        <f>SUM(F419:F428)</f>
        <v/>
      </c>
      <c r="G418" s="2751">
        <f>SUM(G419:G428)</f>
        <v/>
      </c>
      <c r="H418" s="2751">
        <f>SUM(H419:H428)</f>
        <v/>
      </c>
      <c r="I418" s="2752">
        <f>SUM(I419:I428)</f>
        <v/>
      </c>
      <c r="J418" s="2752">
        <f>SUM(J419:J428)</f>
        <v/>
      </c>
      <c r="K418" s="2752">
        <f>SUM(K419:K428)</f>
        <v/>
      </c>
      <c r="L418" s="2753">
        <f>SUM(L419:L428)</f>
        <v/>
      </c>
      <c r="M418" s="2753">
        <f>SUM(M419:M428)</f>
        <v/>
      </c>
      <c r="N418" s="2753">
        <f>SUM(N419:N428)</f>
        <v/>
      </c>
      <c r="O418" s="2753">
        <f>SUM(O419:O428)</f>
        <v/>
      </c>
      <c r="P418" s="2753">
        <f>SUM(P419:P428)</f>
        <v/>
      </c>
      <c r="Q418" s="2754">
        <f>SUM(E418:P418)</f>
        <v/>
      </c>
      <c r="Y418" s="2702" t="n"/>
      <c r="Z418" s="2702" t="n"/>
      <c r="AA418" s="2702" t="n"/>
    </row>
    <row customHeight="1" ht="15" r="419" s="1843" spans="1:33">
      <c r="D419" s="1196" t="n">
        <v>12124</v>
      </c>
      <c r="E419" s="2731" t="n">
        <v>129064.54</v>
      </c>
      <c r="F419" s="2731" t="n">
        <v>128368.22</v>
      </c>
      <c r="G419" s="2732" t="n">
        <v>128368.22</v>
      </c>
      <c r="H419" s="2731" t="n">
        <v>128368.22</v>
      </c>
      <c r="I419" s="2733" t="n">
        <v>128317.9443</v>
      </c>
      <c r="J419" s="2733" t="n">
        <v>128317.9443</v>
      </c>
      <c r="K419" s="2733" t="n">
        <v>128317.9443</v>
      </c>
      <c r="L419" s="2733" t="n">
        <v>128317.9443</v>
      </c>
      <c r="M419" s="2733" t="n">
        <v>128317.9443</v>
      </c>
      <c r="N419" s="2733" t="n">
        <v>128317.9443</v>
      </c>
      <c r="O419" s="2733" t="n">
        <v>128317.9443</v>
      </c>
      <c r="P419" s="2733" t="n">
        <v>128317.9443</v>
      </c>
      <c r="Q419" s="2755">
        <f>SUM(E419:P419)</f>
        <v/>
      </c>
      <c r="Y419" s="2702" t="n"/>
      <c r="Z419" s="2702" t="n"/>
      <c r="AA419" s="2702" t="n"/>
    </row>
    <row customHeight="1" ht="15" r="420" s="1843" spans="1:33">
      <c r="D420" s="1196" t="n">
        <v>12274</v>
      </c>
      <c r="E420" s="2731" t="n">
        <v>93352.50999999999</v>
      </c>
      <c r="F420" s="2731" t="n">
        <v>92848.86</v>
      </c>
      <c r="G420" s="2732" t="n">
        <v>92848.86</v>
      </c>
      <c r="H420" s="2731" t="n">
        <v>92848.86</v>
      </c>
      <c r="I420" s="2733" t="n">
        <v>92626.86040000001</v>
      </c>
      <c r="J420" s="2733" t="n">
        <v>92626.86040000001</v>
      </c>
      <c r="K420" s="2733" t="n">
        <v>92626.86040000001</v>
      </c>
      <c r="L420" s="2733" t="n">
        <v>92626.86040000001</v>
      </c>
      <c r="M420" s="2733" t="n">
        <v>92626.86040000001</v>
      </c>
      <c r="N420" s="2733" t="n">
        <v>92626.86040000001</v>
      </c>
      <c r="O420" s="2733" t="n">
        <v>92626.86040000001</v>
      </c>
      <c r="P420" s="2733" t="n">
        <v>92626.86040000001</v>
      </c>
      <c r="Q420" s="2755">
        <f>SUM(E420:P420)</f>
        <v/>
      </c>
      <c r="Y420" s="2702" t="n"/>
      <c r="Z420" s="2702" t="n"/>
      <c r="AA420" s="2702" t="n"/>
    </row>
    <row customHeight="1" ht="15" r="421" s="1843" spans="1:33">
      <c r="D421" s="1196" t="n">
        <v>12163</v>
      </c>
      <c r="E421" s="1445" t="n">
        <v>3132.63</v>
      </c>
      <c r="F421" s="1445" t="n">
        <v>3115.73</v>
      </c>
      <c r="G421" s="2732" t="n">
        <v>3115.73</v>
      </c>
      <c r="H421" s="2731" t="n">
        <v>3115.73</v>
      </c>
      <c r="I421" s="2733" t="n">
        <v>3399.1508</v>
      </c>
      <c r="J421" s="2733" t="n">
        <v>3399.1508</v>
      </c>
      <c r="K421" s="2733" t="n">
        <v>3399.1508</v>
      </c>
      <c r="L421" s="2733" t="n">
        <v>3399.1508</v>
      </c>
      <c r="M421" s="2733" t="n">
        <v>3399.1508</v>
      </c>
      <c r="N421" s="2733" t="n">
        <v>3399.1508</v>
      </c>
      <c r="O421" s="2733" t="n">
        <v>3399.1508</v>
      </c>
      <c r="P421" s="2733" t="n">
        <v>3399.1508</v>
      </c>
      <c r="Q421" s="2755">
        <f>SUM(E421:P421)</f>
        <v/>
      </c>
      <c r="Y421" s="2702" t="n"/>
      <c r="Z421" s="2702" t="n"/>
      <c r="AA421" s="2702" t="n"/>
    </row>
    <row customHeight="1" ht="15" r="422" s="1843" spans="1:33">
      <c r="D422" s="1196" t="n">
        <v>12272</v>
      </c>
      <c r="E422" s="1445" t="n">
        <v>15663.18</v>
      </c>
      <c r="F422" s="1445" t="n">
        <v>15578.67</v>
      </c>
      <c r="G422" s="2732" t="n">
        <v>15578.67</v>
      </c>
      <c r="H422" s="2731" t="n">
        <v>15578.67</v>
      </c>
      <c r="I422" s="2733" t="n">
        <v>15296.1787</v>
      </c>
      <c r="J422" s="2733" t="n">
        <v>15296.1787</v>
      </c>
      <c r="K422" s="2733" t="n">
        <v>15296.1787</v>
      </c>
      <c r="L422" s="2733" t="n">
        <v>15296.1787</v>
      </c>
      <c r="M422" s="2733" t="n">
        <v>15296.1787</v>
      </c>
      <c r="N422" s="2733" t="n">
        <v>15296.1787</v>
      </c>
      <c r="O422" s="2733" t="n">
        <v>15296.1787</v>
      </c>
      <c r="P422" s="2733" t="n">
        <v>15296.1787</v>
      </c>
      <c r="Q422" s="2755">
        <f>SUM(E422:P422)</f>
        <v/>
      </c>
      <c r="Y422" s="2702" t="n"/>
      <c r="Z422" s="2702" t="n"/>
      <c r="AA422" s="2702" t="n"/>
    </row>
    <row customHeight="1" ht="14.45" r="423" s="1843" spans="1:33">
      <c r="D423" s="1196" t="n">
        <v>12273</v>
      </c>
      <c r="E423" s="1445" t="n">
        <v>13783.59</v>
      </c>
      <c r="F423" s="1445" t="n">
        <v>13709.23</v>
      </c>
      <c r="G423" s="2732" t="n">
        <v>13709.23</v>
      </c>
      <c r="H423" s="2731" t="n">
        <v>13709.23</v>
      </c>
      <c r="I423" s="2733" t="n">
        <v>13596.6033</v>
      </c>
      <c r="J423" s="2733" t="n">
        <v>13596.6033</v>
      </c>
      <c r="K423" s="2733" t="n">
        <v>13596.6033</v>
      </c>
      <c r="L423" s="2733" t="n">
        <v>13596.6033</v>
      </c>
      <c r="M423" s="2733" t="n">
        <v>13596.6033</v>
      </c>
      <c r="N423" s="2733" t="n">
        <v>13596.6033</v>
      </c>
      <c r="O423" s="2733" t="n">
        <v>13596.6033</v>
      </c>
      <c r="P423" s="2733" t="n">
        <v>13596.6033</v>
      </c>
      <c r="Q423" s="2755">
        <f>SUM(E423:P423)</f>
        <v/>
      </c>
      <c r="T423" s="2362" t="n"/>
      <c r="Y423" s="2702" t="n"/>
      <c r="Z423" s="2702" t="n"/>
      <c r="AA423" s="2702" t="n"/>
    </row>
    <row customHeight="1" ht="15" r="424" s="1843" spans="1:33">
      <c r="D424" s="1196" t="n">
        <v>12276</v>
      </c>
      <c r="E424" s="1445" t="n">
        <v>6891.799999999999</v>
      </c>
      <c r="F424" s="1445" t="n">
        <v>6854.61</v>
      </c>
      <c r="G424" s="2732" t="n">
        <v>6854.61</v>
      </c>
      <c r="H424" s="2731" t="n">
        <v>6854.61</v>
      </c>
      <c r="I424" s="2733" t="n">
        <v>6798.3016</v>
      </c>
      <c r="J424" s="2733" t="n">
        <v>6798.3016</v>
      </c>
      <c r="K424" s="2733" t="n">
        <v>6798.3016</v>
      </c>
      <c r="L424" s="2733" t="n">
        <v>6798.3016</v>
      </c>
      <c r="M424" s="2733" t="n">
        <v>6798.3016</v>
      </c>
      <c r="N424" s="2733" t="n">
        <v>6798.3016</v>
      </c>
      <c r="O424" s="2733" t="n">
        <v>6798.3016</v>
      </c>
      <c r="P424" s="2733" t="n">
        <v>6798.3016</v>
      </c>
      <c r="Q424" s="2755">
        <f>SUM(E424:P424)</f>
        <v/>
      </c>
      <c r="Y424" s="2702" t="n"/>
      <c r="Z424" s="2702" t="n"/>
      <c r="AA424" s="2702" t="n"/>
    </row>
    <row customHeight="1" ht="15" r="425" s="1843" spans="1:33">
      <c r="D425" s="1196" t="n">
        <v>12277</v>
      </c>
      <c r="E425" s="1445" t="n">
        <v>16916.22</v>
      </c>
      <c r="F425" s="1445" t="n">
        <v>16824.96</v>
      </c>
      <c r="G425" s="2732" t="n">
        <v>16824.96</v>
      </c>
      <c r="H425" s="2731" t="n">
        <v>16824.96</v>
      </c>
      <c r="I425" s="2733" t="n">
        <v>16995.7542</v>
      </c>
      <c r="J425" s="2733" t="n">
        <v>16995.7542</v>
      </c>
      <c r="K425" s="2733" t="n">
        <v>16995.7542</v>
      </c>
      <c r="L425" s="2733" t="n">
        <v>16995.7542</v>
      </c>
      <c r="M425" s="2733" t="n">
        <v>16995.7542</v>
      </c>
      <c r="N425" s="2733" t="n">
        <v>16995.7542</v>
      </c>
      <c r="O425" s="2733" t="n">
        <v>16995.7542</v>
      </c>
      <c r="P425" s="2733" t="n">
        <v>16995.7542</v>
      </c>
      <c r="Q425" s="2755">
        <f>SUM(E425:P425)</f>
        <v/>
      </c>
      <c r="T425" s="2362" t="n"/>
      <c r="Y425" s="2702" t="n"/>
      <c r="Z425" s="2702" t="n"/>
      <c r="AA425" s="2702" t="n"/>
    </row>
    <row customHeight="1" ht="15" r="426" s="1843" spans="1:33">
      <c r="A426" s="2728" t="n"/>
      <c r="B426" s="2728" t="n"/>
      <c r="C426" s="2728" t="n"/>
      <c r="D426" s="1196" t="s">
        <v>304</v>
      </c>
      <c r="E426" s="1445" t="n">
        <v>26314.13</v>
      </c>
      <c r="F426" s="1445" t="n">
        <v>26172.16</v>
      </c>
      <c r="G426" s="2732" t="n">
        <v>26172.16</v>
      </c>
      <c r="H426" s="2731" t="n">
        <v>26172.16</v>
      </c>
      <c r="I426" s="2733" t="n">
        <v>26343.419</v>
      </c>
      <c r="J426" s="2733" t="n">
        <v>26343.419</v>
      </c>
      <c r="K426" s="2733" t="n">
        <v>26343.419</v>
      </c>
      <c r="L426" s="2733" t="n">
        <v>26343.419</v>
      </c>
      <c r="M426" s="2733" t="n">
        <v>26343.419</v>
      </c>
      <c r="N426" s="2733" t="n">
        <v>26343.419</v>
      </c>
      <c r="O426" s="2733" t="n">
        <v>26343.419</v>
      </c>
      <c r="P426" s="2733" t="n">
        <v>26343.419</v>
      </c>
      <c r="Q426" s="2755">
        <f>SUM(E426:P426)</f>
        <v/>
      </c>
      <c r="R426" s="2362" t="n"/>
      <c r="S426" s="2362" t="n"/>
      <c r="T426" s="2362" t="n"/>
      <c r="Y426" s="2702" t="n"/>
      <c r="Z426" s="2702" t="n"/>
      <c r="AA426" s="2702" t="n"/>
    </row>
    <row customHeight="1" ht="15" r="427" s="1843" spans="1:33">
      <c r="D427" s="1196" t="n">
        <v>12198</v>
      </c>
      <c r="E427" s="1445" t="n">
        <v>16916.22</v>
      </c>
      <c r="F427" s="1445" t="n">
        <v>16824.96</v>
      </c>
      <c r="G427" s="2732" t="n">
        <v>16824.96</v>
      </c>
      <c r="H427" s="2731" t="n">
        <v>16824.96</v>
      </c>
      <c r="I427" s="2733" t="n">
        <v>16995.7542</v>
      </c>
      <c r="J427" s="2733" t="n">
        <v>16995.7542</v>
      </c>
      <c r="K427" s="2733" t="n">
        <v>16995.7542</v>
      </c>
      <c r="L427" s="2733" t="n">
        <v>16995.7542</v>
      </c>
      <c r="M427" s="2733" t="n">
        <v>16995.7542</v>
      </c>
      <c r="N427" s="2733" t="n">
        <v>16995.7542</v>
      </c>
      <c r="O427" s="2733" t="n">
        <v>16995.7542</v>
      </c>
      <c r="P427" s="2733" t="n">
        <v>16995.7542</v>
      </c>
      <c r="Q427" s="2755">
        <f>SUM(E427:P427)</f>
        <v/>
      </c>
      <c r="T427" s="2362" t="n"/>
      <c r="Y427" s="2702" t="n"/>
      <c r="Z427" s="2702" t="n"/>
      <c r="AA427" s="2702" t="n"/>
    </row>
    <row customHeight="1" ht="15" r="428" s="1843" spans="1:33">
      <c r="D428" s="1196" t="n">
        <v>12271</v>
      </c>
      <c r="E428" s="1445" t="n">
        <v>6891.799999999999</v>
      </c>
      <c r="F428" s="1445" t="n">
        <v>6854.61</v>
      </c>
      <c r="G428" s="2732" t="n">
        <v>6854.61</v>
      </c>
      <c r="H428" s="2731" t="n">
        <v>6854.61</v>
      </c>
      <c r="I428" s="2733" t="n">
        <v>6798.3016</v>
      </c>
      <c r="J428" s="2733" t="n">
        <v>6798.3016</v>
      </c>
      <c r="K428" s="2733" t="n">
        <v>6798.3016</v>
      </c>
      <c r="L428" s="2733" t="n">
        <v>6798.3016</v>
      </c>
      <c r="M428" s="2733" t="n">
        <v>6798.3016</v>
      </c>
      <c r="N428" s="2733" t="n">
        <v>6798.3016</v>
      </c>
      <c r="O428" s="2733" t="n">
        <v>6798.3016</v>
      </c>
      <c r="P428" s="2733" t="n">
        <v>6798.3016</v>
      </c>
      <c r="Q428" s="2755">
        <f>SUM(E428:P428)</f>
        <v/>
      </c>
      <c r="T428" s="2362" t="n"/>
      <c r="Y428" s="2702" t="n"/>
      <c r="Z428" s="2702" t="n"/>
      <c r="AA428" s="2702" t="n"/>
    </row>
    <row customHeight="1" ht="15" r="429" s="1843" spans="1:33">
      <c r="D429" s="2756" t="s">
        <v>342</v>
      </c>
      <c r="E429" s="2751">
        <f>SUM(E430:E439)</f>
        <v/>
      </c>
      <c r="F429" s="2751">
        <f>SUM(F430:F439)</f>
        <v/>
      </c>
      <c r="G429" s="2752">
        <f>SUM(G430:G439)</f>
        <v/>
      </c>
      <c r="H429" s="2751">
        <f>SUM(H430:H439)</f>
        <v/>
      </c>
      <c r="I429" s="2753">
        <f>SUM(I430:I439)</f>
        <v/>
      </c>
      <c r="J429" s="2753">
        <f>SUM(J430:J439)</f>
        <v/>
      </c>
      <c r="K429" s="2753">
        <f>SUM(K430:K439)</f>
        <v/>
      </c>
      <c r="L429" s="2753">
        <f>SUM(L430:L439)</f>
        <v/>
      </c>
      <c r="M429" s="2753">
        <f>SUM(M430:M439)</f>
        <v/>
      </c>
      <c r="N429" s="2753">
        <f>SUM(N430:N439)</f>
        <v/>
      </c>
      <c r="O429" s="2753">
        <f>SUM(O430:O439)</f>
        <v/>
      </c>
      <c r="P429" s="2753">
        <f>SUM(P430:P439)</f>
        <v/>
      </c>
      <c r="Q429" s="2757">
        <f>SUM(D429:P429)</f>
        <v/>
      </c>
      <c r="S429" s="2505">
        <f>Q440-Q429</f>
        <v/>
      </c>
      <c r="T429" s="2362" t="n"/>
      <c r="Y429" s="2702" t="n"/>
      <c r="Z429" s="2702" t="n"/>
      <c r="AA429" s="2702" t="n"/>
    </row>
    <row customHeight="1" ht="15" r="430" s="1843" spans="1:33">
      <c r="D430" s="1196" t="n">
        <v>12124</v>
      </c>
      <c r="E430" s="2731" t="n">
        <v>62421.4</v>
      </c>
      <c r="F430" s="2731" t="n">
        <v>62742.15</v>
      </c>
      <c r="G430" s="2732" t="n">
        <v>62421.4</v>
      </c>
      <c r="H430" s="2731" t="n">
        <v>62421.4</v>
      </c>
      <c r="I430" s="2733" t="n">
        <v>62421.42</v>
      </c>
      <c r="J430" s="2733" t="n">
        <v>62421.42</v>
      </c>
      <c r="K430" s="2733" t="n">
        <v>62421.42</v>
      </c>
      <c r="L430" s="2733" t="n">
        <v>62421.42</v>
      </c>
      <c r="M430" s="2733" t="n">
        <v>62421.42</v>
      </c>
      <c r="N430" s="2733" t="n">
        <v>62421.42</v>
      </c>
      <c r="O430" s="2733" t="n">
        <v>62421.42</v>
      </c>
      <c r="P430" s="2733" t="n">
        <v>62421.42</v>
      </c>
      <c r="Q430" s="2731">
        <f>SUM(E430:P430)</f>
        <v/>
      </c>
      <c r="T430" s="2362" t="n"/>
      <c r="Y430" s="2702" t="n"/>
      <c r="Z430" s="2702" t="n"/>
      <c r="AA430" s="2702" t="n"/>
    </row>
    <row customHeight="1" ht="15" r="431" s="1843" spans="1:33">
      <c r="D431" s="1196" t="n">
        <v>12274</v>
      </c>
      <c r="E431" s="2731" t="n">
        <v>56019.2</v>
      </c>
      <c r="F431" s="2731" t="n">
        <v>56019.2</v>
      </c>
      <c r="G431" s="2732" t="n">
        <v>56019.2</v>
      </c>
      <c r="H431" s="2731" t="n">
        <v>56019.2</v>
      </c>
      <c r="I431" s="2733" t="n">
        <v>56019.22</v>
      </c>
      <c r="J431" s="2733" t="n">
        <v>56019.22</v>
      </c>
      <c r="K431" s="2733" t="n">
        <v>56019.22</v>
      </c>
      <c r="L431" s="2733" t="n">
        <v>56019.22</v>
      </c>
      <c r="M431" s="2733" t="n">
        <v>56019.22</v>
      </c>
      <c r="N431" s="2733" t="n">
        <v>56019.22</v>
      </c>
      <c r="O431" s="2733" t="n">
        <v>56019.22</v>
      </c>
      <c r="P431" s="2733" t="n">
        <v>56019.22</v>
      </c>
      <c r="Q431" s="2731">
        <f>SUM(E431:P431)</f>
        <v/>
      </c>
      <c r="T431" s="2362" t="n"/>
      <c r="Y431" s="2702" t="n"/>
      <c r="Z431" s="2702" t="n"/>
      <c r="AA431" s="2702" t="n"/>
    </row>
    <row customHeight="1" ht="15" r="432" s="1843" spans="1:33">
      <c r="D432" s="1196" t="n">
        <v>12163</v>
      </c>
      <c r="E432" s="2731" t="n">
        <v>4801.65</v>
      </c>
      <c r="F432" s="2731" t="n">
        <v>4807.25</v>
      </c>
      <c r="G432" s="2732" t="n">
        <v>4801.65</v>
      </c>
      <c r="H432" s="2731" t="n">
        <v>4801.65</v>
      </c>
      <c r="I432" s="2733" t="n">
        <v>4801.65</v>
      </c>
      <c r="J432" s="2733" t="n">
        <v>4801.65</v>
      </c>
      <c r="K432" s="2733" t="n">
        <v>4801.65</v>
      </c>
      <c r="L432" s="2733" t="n">
        <v>4801.65</v>
      </c>
      <c r="M432" s="2733" t="n">
        <v>4801.65</v>
      </c>
      <c r="N432" s="2733" t="n">
        <v>4801.65</v>
      </c>
      <c r="O432" s="2733" t="n">
        <v>4801.65</v>
      </c>
      <c r="P432" s="2733" t="n">
        <v>4801.65</v>
      </c>
      <c r="Q432" s="2731">
        <f>SUM(E432:P432)</f>
        <v/>
      </c>
      <c r="T432" s="2362" t="n"/>
      <c r="Y432" s="2702" t="n"/>
      <c r="Z432" s="2702" t="n"/>
      <c r="AA432" s="2702" t="n"/>
    </row>
    <row customHeight="1" ht="15" r="433" s="1843" spans="1:33">
      <c r="D433" s="1196" t="n">
        <v>12272</v>
      </c>
      <c r="E433" s="2731" t="n">
        <v>17606.04</v>
      </c>
      <c r="F433" s="2731" t="n">
        <v>17606.04</v>
      </c>
      <c r="G433" s="2732" t="n">
        <v>17606.04</v>
      </c>
      <c r="H433" s="2731" t="n">
        <v>17606.04</v>
      </c>
      <c r="I433" s="2733" t="n">
        <v>17606.04</v>
      </c>
      <c r="J433" s="2733" t="n">
        <v>17606.04</v>
      </c>
      <c r="K433" s="2733" t="n">
        <v>17606.04</v>
      </c>
      <c r="L433" s="2733" t="n">
        <v>17606.04</v>
      </c>
      <c r="M433" s="2733" t="n">
        <v>17606.04</v>
      </c>
      <c r="N433" s="2733" t="n">
        <v>17606.04</v>
      </c>
      <c r="O433" s="2733" t="n">
        <v>17606.04</v>
      </c>
      <c r="P433" s="2733" t="n">
        <v>17606.04</v>
      </c>
      <c r="Q433" s="2731">
        <f>SUM(E433:P433)</f>
        <v/>
      </c>
      <c r="T433" s="2362" t="n"/>
      <c r="Y433" s="2702" t="n"/>
      <c r="Z433" s="2702" t="n"/>
      <c r="AA433" s="2702" t="n"/>
    </row>
    <row customHeight="1" ht="15" r="434" s="1843" spans="1:33">
      <c r="D434" s="1196" t="n">
        <v>12273</v>
      </c>
      <c r="E434" s="2731" t="n">
        <v>8002.74</v>
      </c>
      <c r="F434" s="2731" t="n">
        <v>8003.7</v>
      </c>
      <c r="G434" s="2732" t="n">
        <v>8002.74</v>
      </c>
      <c r="H434" s="2731" t="n">
        <v>8002.74</v>
      </c>
      <c r="I434" s="2733" t="n">
        <v>8002.75</v>
      </c>
      <c r="J434" s="2733" t="n">
        <v>8002.75</v>
      </c>
      <c r="K434" s="2733" t="n">
        <v>8002.75</v>
      </c>
      <c r="L434" s="2733" t="n">
        <v>8002.75</v>
      </c>
      <c r="M434" s="2733" t="n">
        <v>8002.75</v>
      </c>
      <c r="N434" s="2733" t="n">
        <v>8002.75</v>
      </c>
      <c r="O434" s="2733" t="n">
        <v>8002.75</v>
      </c>
      <c r="P434" s="2733" t="n">
        <v>8002.75</v>
      </c>
      <c r="Q434" s="2731">
        <f>SUM(E434:P434)</f>
        <v/>
      </c>
      <c r="T434" s="2362" t="n"/>
      <c r="Y434" s="2702" t="n"/>
      <c r="Z434" s="2702" t="n"/>
      <c r="AA434" s="2702" t="n"/>
    </row>
    <row customHeight="1" ht="15" r="435" s="1843" spans="1:33">
      <c r="D435" s="1196" t="n">
        <v>12276</v>
      </c>
      <c r="E435" s="2731" t="n">
        <v>3201.1</v>
      </c>
      <c r="F435" s="2731" t="n">
        <v>3217.75</v>
      </c>
      <c r="G435" s="2732" t="n">
        <v>3201.1</v>
      </c>
      <c r="H435" s="2731" t="n">
        <v>3201.1</v>
      </c>
      <c r="I435" s="2733" t="n">
        <v>3201.1</v>
      </c>
      <c r="J435" s="2733" t="n">
        <v>3201.1</v>
      </c>
      <c r="K435" s="2733" t="n">
        <v>3201.1</v>
      </c>
      <c r="L435" s="2733" t="n">
        <v>3201.1</v>
      </c>
      <c r="M435" s="2733" t="n">
        <v>3201.1</v>
      </c>
      <c r="N435" s="2733" t="n">
        <v>3201.1</v>
      </c>
      <c r="O435" s="2733" t="n">
        <v>3201.1</v>
      </c>
      <c r="P435" s="2733" t="n">
        <v>3201.1</v>
      </c>
      <c r="Q435" s="2731">
        <f>SUM(E435:P435)</f>
        <v/>
      </c>
      <c r="T435" s="2362" t="n"/>
      <c r="Y435" s="2702" t="n"/>
      <c r="Z435" s="2702" t="n"/>
      <c r="AA435" s="2702" t="n"/>
    </row>
    <row customHeight="1" ht="15" r="436" s="1843" spans="1:33">
      <c r="D436" s="1196" t="n">
        <v>12277</v>
      </c>
      <c r="E436" s="2731" t="n">
        <v>22407.68</v>
      </c>
      <c r="F436" s="2731" t="n">
        <v>22407.68</v>
      </c>
      <c r="G436" s="2732" t="n">
        <v>22407.68</v>
      </c>
      <c r="H436" s="2731" t="n">
        <v>22407.68</v>
      </c>
      <c r="I436" s="2733" t="n">
        <v>22407.69</v>
      </c>
      <c r="J436" s="2733" t="n">
        <v>22407.69</v>
      </c>
      <c r="K436" s="2733" t="n">
        <v>22407.69</v>
      </c>
      <c r="L436" s="2733" t="n">
        <v>22407.69</v>
      </c>
      <c r="M436" s="2733" t="n">
        <v>22407.69</v>
      </c>
      <c r="N436" s="2733" t="n">
        <v>22407.69</v>
      </c>
      <c r="O436" s="2733" t="n">
        <v>22407.69</v>
      </c>
      <c r="P436" s="2733" t="n">
        <v>22407.69</v>
      </c>
      <c r="Q436" s="2731">
        <f>SUM(E436:P436)</f>
        <v/>
      </c>
      <c r="T436" s="2362" t="n"/>
      <c r="Y436" s="2702" t="n"/>
      <c r="Z436" s="2702" t="n"/>
      <c r="AA436" s="2702" t="n"/>
    </row>
    <row customHeight="1" ht="15" r="437" s="1843" spans="1:33">
      <c r="D437" s="1196" t="s">
        <v>304</v>
      </c>
      <c r="E437" s="2731" t="n">
        <v>9603.290000000001</v>
      </c>
      <c r="F437" s="2731" t="n">
        <v>9630.34</v>
      </c>
      <c r="G437" s="2732" t="n">
        <v>9603.290000000001</v>
      </c>
      <c r="H437" s="2731" t="n">
        <v>9603.290000000001</v>
      </c>
      <c r="I437" s="2733" t="n">
        <v>9603.290000000001</v>
      </c>
      <c r="J437" s="2733" t="n">
        <v>9603.290000000001</v>
      </c>
      <c r="K437" s="2733" t="n">
        <v>9603.290000000001</v>
      </c>
      <c r="L437" s="2733" t="n">
        <v>9603.290000000001</v>
      </c>
      <c r="M437" s="2733" t="n">
        <v>9603.290000000001</v>
      </c>
      <c r="N437" s="2733" t="n">
        <v>9603.290000000001</v>
      </c>
      <c r="O437" s="2733" t="n">
        <v>9603.290000000001</v>
      </c>
      <c r="P437" s="2733" t="n">
        <v>9603.290000000001</v>
      </c>
      <c r="Q437" s="2731">
        <f>SUM(E437:P437)</f>
        <v/>
      </c>
      <c r="T437" s="2362" t="n"/>
      <c r="Y437" s="2702" t="n"/>
      <c r="Z437" s="2702" t="n"/>
      <c r="AA437" s="2702" t="n"/>
    </row>
    <row customHeight="1" ht="15" r="438" s="1843" spans="1:33">
      <c r="D438" s="1196" t="n">
        <v>12198</v>
      </c>
      <c r="E438" s="2731" t="n">
        <v>12804.39</v>
      </c>
      <c r="F438" s="2731" t="n">
        <v>12843.6</v>
      </c>
      <c r="G438" s="2732" t="n">
        <v>12804.39</v>
      </c>
      <c r="H438" s="2731" t="n">
        <v>12804.39</v>
      </c>
      <c r="I438" s="2733" t="n">
        <v>12804.39</v>
      </c>
      <c r="J438" s="2733" t="n">
        <v>12804.39</v>
      </c>
      <c r="K438" s="2733" t="n">
        <v>12804.39</v>
      </c>
      <c r="L438" s="2733" t="n">
        <v>12804.39</v>
      </c>
      <c r="M438" s="2733" t="n">
        <v>12804.39</v>
      </c>
      <c r="N438" s="2733" t="n">
        <v>12804.39</v>
      </c>
      <c r="O438" s="2733" t="n">
        <v>12804.39</v>
      </c>
      <c r="P438" s="2733" t="n">
        <v>12804.39</v>
      </c>
      <c r="Q438" s="2731">
        <f>SUM(E438:P438)</f>
        <v/>
      </c>
      <c r="T438" s="2362" t="n"/>
      <c r="Y438" s="2702" t="n"/>
      <c r="Z438" s="2702" t="n"/>
      <c r="AA438" s="2702" t="n"/>
    </row>
    <row customHeight="1" ht="15" r="439" s="1843" spans="1:33">
      <c r="D439" s="1196" t="n">
        <v>12271</v>
      </c>
      <c r="E439" s="2731" t="n">
        <v>4801.65</v>
      </c>
      <c r="F439" s="2731" t="n">
        <v>4801.65</v>
      </c>
      <c r="G439" s="2732" t="n">
        <v>4801.65</v>
      </c>
      <c r="H439" s="2731" t="n">
        <v>4801.65</v>
      </c>
      <c r="I439" s="2733" t="n">
        <v>4801.65</v>
      </c>
      <c r="J439" s="2733" t="n">
        <v>4801.65</v>
      </c>
      <c r="K439" s="2733" t="n">
        <v>4801.65</v>
      </c>
      <c r="L439" s="2733" t="n">
        <v>4801.65</v>
      </c>
      <c r="M439" s="2733" t="n">
        <v>4801.65</v>
      </c>
      <c r="N439" s="2733" t="n">
        <v>4801.65</v>
      </c>
      <c r="O439" s="2733" t="n">
        <v>4801.65</v>
      </c>
      <c r="P439" s="2733" t="n">
        <v>4801.65</v>
      </c>
      <c r="Q439" s="2731">
        <f>SUM(E439:P439)</f>
        <v/>
      </c>
      <c r="T439" s="2362" t="n"/>
      <c r="Y439" s="2702" t="n"/>
      <c r="Z439" s="2702" t="n"/>
      <c r="AA439" s="2702" t="n"/>
    </row>
    <row customHeight="1" ht="15" r="440" s="1843" spans="1:33">
      <c r="A440" s="2758" t="n"/>
      <c r="C440" s="2684" t="n"/>
      <c r="D440" s="2756" t="s">
        <v>343</v>
      </c>
      <c r="E440" s="2751">
        <f>SUM(E441:E450)</f>
        <v/>
      </c>
      <c r="F440" s="2751">
        <f>SUM(F441:F450)</f>
        <v/>
      </c>
      <c r="G440" s="2751">
        <f>SUM(G441:G450)</f>
        <v/>
      </c>
      <c r="H440" s="2751">
        <f>SUM(H441:H450)</f>
        <v/>
      </c>
      <c r="I440" s="2751">
        <f>SUM(I441:I450)</f>
        <v/>
      </c>
      <c r="J440" s="2751">
        <f>SUM(J441:J450)</f>
        <v/>
      </c>
      <c r="K440" s="2751">
        <f>SUM(K441:K450)</f>
        <v/>
      </c>
      <c r="L440" s="2751">
        <f>SUM(L441:L450)</f>
        <v/>
      </c>
      <c r="M440" s="2751">
        <f>SUM(M441:M450)</f>
        <v/>
      </c>
      <c r="N440" s="2751">
        <f>SUM(N441:N450)</f>
        <v/>
      </c>
      <c r="O440" s="2751">
        <f>SUM(O441:O450)</f>
        <v/>
      </c>
      <c r="P440" s="2751">
        <f>SUM(P441:P450)</f>
        <v/>
      </c>
      <c r="Q440" s="2757">
        <f>SUM(D440:P440)</f>
        <v/>
      </c>
      <c r="R440" s="2731">
        <f>'[5]FY18 CFG Prev'!Q440</f>
        <v/>
      </c>
      <c r="S440" s="2731" t="n"/>
      <c r="T440" s="2731" t="n"/>
      <c r="V440" s="2731">
        <f>Q440-R440</f>
        <v/>
      </c>
      <c r="Y440" s="2702" t="n"/>
      <c r="Z440" s="2702" t="n"/>
      <c r="AA440" s="2702" t="n"/>
    </row>
    <row customHeight="1" ht="15" r="441" s="1843" spans="1:33">
      <c r="D441" s="1196" t="n">
        <v>12124</v>
      </c>
      <c r="E441" s="2731" t="n">
        <v>147906.37</v>
      </c>
      <c r="F441" s="2731" t="n">
        <v>79213.07999999999</v>
      </c>
      <c r="G441" s="2759">
        <f>-122615.78-G24</f>
        <v/>
      </c>
      <c r="H441" s="2731" t="n">
        <v>115050.04</v>
      </c>
      <c r="I441" s="2733" t="n">
        <v>137230.77</v>
      </c>
      <c r="J441" s="2733" t="n">
        <v>137229.98</v>
      </c>
      <c r="K441" s="2733" t="n">
        <v>137676.97</v>
      </c>
      <c r="L441" s="2733" t="n">
        <v>130850.21</v>
      </c>
      <c r="M441" s="2733" t="n">
        <v>141682.04</v>
      </c>
      <c r="N441" s="2733" t="n">
        <v>130846.34</v>
      </c>
      <c r="O441" s="2733" t="n">
        <v>130844.75</v>
      </c>
      <c r="P441" s="2733" t="n">
        <v>130843.21</v>
      </c>
      <c r="Q441" s="2731">
        <f>SUM(E441:P441)</f>
        <v/>
      </c>
      <c r="R441" s="2731">
        <f>'[5]FY18 CFG Prev'!Q441</f>
        <v/>
      </c>
      <c r="S441" s="2731" t="n"/>
      <c r="T441" s="2731" t="n"/>
      <c r="V441" s="2731">
        <f>Q441-R441</f>
        <v/>
      </c>
      <c r="W441" s="2731">
        <f>R441-V441</f>
        <v/>
      </c>
      <c r="Y441" s="2702" t="n"/>
      <c r="Z441" s="2702" t="n"/>
      <c r="AA441" s="2702" t="n"/>
    </row>
    <row customHeight="1" ht="15" r="442" s="1843" spans="1:33">
      <c r="D442" s="1196" t="n">
        <v>12274</v>
      </c>
      <c r="E442" s="2731" t="n">
        <v>146646.53</v>
      </c>
      <c r="F442" s="2731" t="n">
        <v>122071.66</v>
      </c>
      <c r="G442" s="2731" t="n">
        <v>113369.35</v>
      </c>
      <c r="H442" s="2731" t="n">
        <v>143373.49</v>
      </c>
      <c r="I442" s="2733" t="n">
        <v>150307.13</v>
      </c>
      <c r="J442" s="2733" t="n">
        <v>150306.58</v>
      </c>
      <c r="K442" s="2733" t="n">
        <v>151206.59</v>
      </c>
      <c r="L442" s="2733" t="n">
        <v>151205.43</v>
      </c>
      <c r="M442" s="2733" t="n">
        <v>159024.44</v>
      </c>
      <c r="N442" s="2733" t="n">
        <v>151202.59</v>
      </c>
      <c r="O442" s="2733" t="n">
        <v>151201.42</v>
      </c>
      <c r="P442" s="2733" t="n">
        <v>151200.3</v>
      </c>
      <c r="Q442" s="2731">
        <f>SUM(E442:P442)</f>
        <v/>
      </c>
      <c r="R442" s="2731">
        <f>'[5]FY18 CFG Prev'!Q442</f>
        <v/>
      </c>
      <c r="S442" s="2731" t="n"/>
      <c r="T442" s="2731" t="n"/>
      <c r="V442" s="2731">
        <f>Q442-R442</f>
        <v/>
      </c>
      <c r="W442" s="2731">
        <f>R442-V442</f>
        <v/>
      </c>
      <c r="Y442" s="2702" t="n"/>
      <c r="Z442" s="2702" t="n"/>
      <c r="AA442" s="2702" t="n"/>
    </row>
    <row customHeight="1" ht="15" r="443" s="1843" spans="1:33">
      <c r="A443" s="2719" t="n"/>
      <c r="B443" s="2719" t="n">
        <v>7790.84</v>
      </c>
      <c r="D443" s="1196" t="n">
        <v>12163</v>
      </c>
      <c r="E443" s="2731" t="n">
        <v>5762.79</v>
      </c>
      <c r="F443" s="2731" t="n">
        <v>6527.09</v>
      </c>
      <c r="G443" s="2731" t="n">
        <v>7145.79</v>
      </c>
      <c r="H443" s="2731" t="n">
        <v>6654.65</v>
      </c>
      <c r="I443" s="2733" t="n">
        <v>7717.86</v>
      </c>
      <c r="J443" s="2733" t="n">
        <v>7717.86</v>
      </c>
      <c r="K443" s="2733" t="n">
        <v>7942.92</v>
      </c>
      <c r="L443" s="2733" t="n">
        <v>7763.27</v>
      </c>
      <c r="M443" s="2733" t="n">
        <v>8050.21</v>
      </c>
      <c r="N443" s="2733" t="n">
        <v>7763.15</v>
      </c>
      <c r="O443" s="2733" t="n">
        <v>7763.11</v>
      </c>
      <c r="P443" s="2733" t="n">
        <v>7763.06</v>
      </c>
      <c r="Q443" s="2731">
        <f>SUM(E443:P443)</f>
        <v/>
      </c>
      <c r="R443" s="2731">
        <f>'[5]FY18 CFG Prev'!Q443</f>
        <v/>
      </c>
      <c r="S443" s="2731" t="n"/>
      <c r="T443" s="2731" t="n"/>
      <c r="V443" s="2731">
        <f>Q443-R443</f>
        <v/>
      </c>
      <c r="W443" s="2731">
        <f>R443-V443</f>
        <v/>
      </c>
      <c r="Y443" s="2702" t="n"/>
      <c r="Z443" s="2702" t="n"/>
      <c r="AA443" s="2702" t="n"/>
    </row>
    <row customHeight="1" ht="15" r="444" s="1843" spans="1:33">
      <c r="A444" s="2719" t="n"/>
      <c r="B444" s="2719" t="n">
        <v>22010.14</v>
      </c>
      <c r="D444" s="1196" t="n">
        <v>12272</v>
      </c>
      <c r="E444" s="2731" t="n">
        <v>28211.14</v>
      </c>
      <c r="F444" s="2731" t="n">
        <v>39704.75000000001</v>
      </c>
      <c r="G444" s="2731" t="n">
        <v>17940.33</v>
      </c>
      <c r="H444" s="2731" t="n">
        <v>17944.65</v>
      </c>
      <c r="I444" s="2733" t="n">
        <v>21889.83</v>
      </c>
      <c r="J444" s="2733" t="n">
        <v>21889.75</v>
      </c>
      <c r="K444" s="2733" t="n">
        <v>21979.66</v>
      </c>
      <c r="L444" s="2733" t="n">
        <v>21979.49</v>
      </c>
      <c r="M444" s="2733" t="n">
        <v>23270.77</v>
      </c>
      <c r="N444" s="2733" t="n">
        <v>21979.12</v>
      </c>
      <c r="O444" s="2733" t="n">
        <v>21978.95</v>
      </c>
      <c r="P444" s="2733" t="n">
        <v>21978.78</v>
      </c>
      <c r="Q444" s="2731">
        <f>SUM(E444:P444)</f>
        <v/>
      </c>
      <c r="R444" s="2731">
        <f>'[5]FY18 CFG Prev'!Q444</f>
        <v/>
      </c>
      <c r="S444" s="2731" t="n"/>
      <c r="T444" s="2731" t="n"/>
      <c r="V444" s="2731">
        <f>Q444-R444</f>
        <v/>
      </c>
      <c r="W444" s="2731">
        <f>R444-V444</f>
        <v/>
      </c>
      <c r="Y444" s="2702" t="n"/>
      <c r="Z444" s="2702" t="n"/>
      <c r="AA444" s="2702" t="n"/>
    </row>
    <row customHeight="1" ht="15" r="445" s="1843" spans="1:33">
      <c r="A445" s="2719" t="n"/>
      <c r="B445" s="2719" t="n">
        <v>12309.94</v>
      </c>
      <c r="D445" s="1196" t="n">
        <v>12273</v>
      </c>
      <c r="E445" s="2731" t="n">
        <v>33107.64</v>
      </c>
      <c r="F445" s="2731" t="n">
        <v>13070.04</v>
      </c>
      <c r="G445" s="2731" t="n">
        <v>10372.71</v>
      </c>
      <c r="H445" s="2731" t="n">
        <v>9266.699999999999</v>
      </c>
      <c r="I445" s="2733" t="n">
        <v>12201.62</v>
      </c>
      <c r="J445" s="2733" t="n">
        <v>12201.54</v>
      </c>
      <c r="K445" s="2733" t="n">
        <v>12309.02</v>
      </c>
      <c r="L445" s="2733" t="n">
        <v>12308.85</v>
      </c>
      <c r="M445" s="2733" t="n">
        <v>13456.64</v>
      </c>
      <c r="N445" s="2733" t="n">
        <v>12308.48</v>
      </c>
      <c r="O445" s="2733" t="n">
        <v>12308.31</v>
      </c>
      <c r="P445" s="2733" t="n">
        <v>12308.14</v>
      </c>
      <c r="Q445" s="2731">
        <f>SUM(E445:P445)</f>
        <v/>
      </c>
      <c r="R445" s="2731">
        <f>'[5]FY18 CFG Prev'!Q445</f>
        <v/>
      </c>
      <c r="S445" s="2731" t="n"/>
      <c r="T445" s="2731" t="n"/>
      <c r="V445" s="2731">
        <f>Q445-R445</f>
        <v/>
      </c>
      <c r="W445" s="2731">
        <f>R445-V445</f>
        <v/>
      </c>
      <c r="Y445" s="2702" t="n"/>
      <c r="Z445" s="2702" t="n"/>
      <c r="AA445" s="2702" t="n"/>
    </row>
    <row customHeight="1" ht="15" r="446" s="1843" spans="1:33">
      <c r="A446" s="2719" t="n"/>
      <c r="B446" s="2719" t="n">
        <v>4820.45</v>
      </c>
      <c r="D446" s="1196" t="n">
        <v>12276</v>
      </c>
      <c r="E446" s="2731" t="n">
        <v>3344.04</v>
      </c>
      <c r="F446" s="2731" t="n">
        <v>3338.12</v>
      </c>
      <c r="G446" s="2731" t="n">
        <v>3392.05</v>
      </c>
      <c r="H446" s="2731" t="n">
        <v>3351.59</v>
      </c>
      <c r="I446" s="2733" t="n">
        <v>4708.8</v>
      </c>
      <c r="J446" s="2733" t="n">
        <v>4708.75</v>
      </c>
      <c r="K446" s="2733" t="n">
        <v>4819.99</v>
      </c>
      <c r="L446" s="2733" t="n">
        <v>4819.91</v>
      </c>
      <c r="M446" s="2733" t="n">
        <v>5393.78</v>
      </c>
      <c r="N446" s="2733" t="n">
        <v>4819.7</v>
      </c>
      <c r="O446" s="2733" t="n">
        <v>4819.61</v>
      </c>
      <c r="P446" s="2733" t="n">
        <v>4819.53</v>
      </c>
      <c r="Q446" s="2731">
        <f>SUM(E446:P446)</f>
        <v/>
      </c>
      <c r="R446" s="2731">
        <f>'[5]FY18 CFG Prev'!Q446</f>
        <v/>
      </c>
      <c r="S446" s="2731" t="n"/>
      <c r="T446" s="2731" t="n"/>
      <c r="V446" s="2731">
        <f>Q446-R446</f>
        <v/>
      </c>
      <c r="W446" s="2731">
        <f>R446-V446</f>
        <v/>
      </c>
      <c r="Y446" s="2702" t="n"/>
      <c r="Z446" s="2702" t="n"/>
      <c r="AA446" s="2702" t="n"/>
    </row>
    <row customHeight="1" ht="15" r="447" s="1843" spans="1:33">
      <c r="A447" s="2719" t="n"/>
      <c r="B447" s="2719" t="n">
        <v>31257.4</v>
      </c>
      <c r="D447" s="1576" t="n">
        <v>12277</v>
      </c>
      <c r="E447" s="2760">
        <f>65315.82+47700</f>
        <v/>
      </c>
      <c r="F447" s="2760">
        <f>36137.19+47700</f>
        <v/>
      </c>
      <c r="G447" s="2760">
        <f>22841.91+47700</f>
        <v/>
      </c>
      <c r="H447" s="2760">
        <f>24896.31+47700</f>
        <v/>
      </c>
      <c r="I447" s="2761">
        <f>45000+30945.13</f>
        <v/>
      </c>
      <c r="J447" s="2761">
        <f>45000+30945.13</f>
        <v/>
      </c>
      <c r="K447" s="2761">
        <f>45000+31256.28</f>
        <v/>
      </c>
      <c r="L447" s="2733" t="n">
        <v>76256.07000000001</v>
      </c>
      <c r="M447" s="2733" t="n">
        <v>77690.75</v>
      </c>
      <c r="N447" s="2733" t="n">
        <v>76255.53</v>
      </c>
      <c r="O447" s="2733" t="n">
        <v>76255.36</v>
      </c>
      <c r="P447" s="2733" t="n">
        <v>76255.14999999999</v>
      </c>
      <c r="Q447" s="2731">
        <f>SUM(E447:P447)</f>
        <v/>
      </c>
      <c r="R447" s="2731">
        <f>'[5]FY18 CFG Prev'!Q447</f>
        <v/>
      </c>
      <c r="S447" s="2731" t="n"/>
      <c r="T447" s="2731" t="n"/>
      <c r="V447" s="2731">
        <f>Q447-R447</f>
        <v/>
      </c>
      <c r="W447" s="2731">
        <f>R447-V447</f>
        <v/>
      </c>
      <c r="Y447" s="2702" t="n"/>
      <c r="Z447" s="2702" t="n"/>
      <c r="AA447" s="2702" t="n"/>
    </row>
    <row customHeight="1" ht="15" r="448" s="1843" spans="1:33">
      <c r="A448" s="2719" t="n"/>
      <c r="B448" s="2719" t="n">
        <v>12263.87</v>
      </c>
      <c r="D448" s="1196" t="s">
        <v>304</v>
      </c>
      <c r="E448" s="2731" t="n">
        <v>10279.23</v>
      </c>
      <c r="F448" s="2731" t="n">
        <v>10807</v>
      </c>
      <c r="G448" s="2731" t="n">
        <v>93022.55</v>
      </c>
      <c r="H448" s="2731" t="n">
        <v>44843.33</v>
      </c>
      <c r="I448" s="2733" t="n">
        <v>12054.14</v>
      </c>
      <c r="J448" s="2733" t="n">
        <v>12053.97</v>
      </c>
      <c r="K448" s="2733" t="n">
        <v>12291.56</v>
      </c>
      <c r="L448" s="2733" t="n">
        <v>12291.23</v>
      </c>
      <c r="M448" s="2733" t="n">
        <v>14515.02</v>
      </c>
      <c r="N448" s="2733" t="n">
        <v>12319.63</v>
      </c>
      <c r="O448" s="2733" t="n">
        <v>12319.25</v>
      </c>
      <c r="P448" s="2733" t="n">
        <v>12318.88</v>
      </c>
      <c r="Q448" s="2731">
        <f>SUM(E448:P448)</f>
        <v/>
      </c>
      <c r="R448" s="2731">
        <f>'[5]FY18 CFG Prev'!Q448</f>
        <v/>
      </c>
      <c r="S448" s="2731" t="n"/>
      <c r="T448" s="2731" t="n"/>
      <c r="V448" s="2731">
        <f>Q448-R448</f>
        <v/>
      </c>
      <c r="W448" s="2731">
        <f>R448-V448</f>
        <v/>
      </c>
      <c r="Y448" s="2702" t="n"/>
      <c r="Z448" s="2702" t="n"/>
      <c r="AA448" s="2702" t="n"/>
    </row>
    <row customHeight="1" ht="15" r="449" s="1843" spans="1:33">
      <c r="D449" s="1196" t="n">
        <v>12198</v>
      </c>
      <c r="E449" s="2731" t="n">
        <v>17310.03</v>
      </c>
      <c r="F449" s="2731" t="n">
        <v>18057.94</v>
      </c>
      <c r="G449" s="2731" t="n">
        <v>18466.89</v>
      </c>
      <c r="H449" s="2731" t="n">
        <v>18884.78</v>
      </c>
      <c r="I449" s="2733">
        <f>SUM(I487,I491)</f>
        <v/>
      </c>
      <c r="J449" s="2733">
        <f>SUM(J487,J491)</f>
        <v/>
      </c>
      <c r="K449" s="2733">
        <f>SUM(K487,K491)</f>
        <v/>
      </c>
      <c r="L449" s="2733">
        <f>SUM(L487,L491)</f>
        <v/>
      </c>
      <c r="M449" s="2733">
        <f>SUM(M487,M491)</f>
        <v/>
      </c>
      <c r="N449" s="2733">
        <f>SUM(N487,N491)</f>
        <v/>
      </c>
      <c r="O449" s="2733">
        <f>SUM(O487,O491)</f>
        <v/>
      </c>
      <c r="P449" s="2733">
        <f>SUM(P487,P491)</f>
        <v/>
      </c>
      <c r="Q449" s="2731">
        <f>SUM(E449:P449)</f>
        <v/>
      </c>
      <c r="R449" s="2731">
        <f>'[5]FY18 CFG Prev'!Q449</f>
        <v/>
      </c>
      <c r="S449" s="2731" t="n"/>
      <c r="T449" s="2731" t="n"/>
      <c r="V449" s="2731">
        <f>Q449-R449</f>
        <v/>
      </c>
      <c r="W449" s="2731">
        <f>R449-V449</f>
        <v/>
      </c>
      <c r="Y449" s="2702" t="n"/>
      <c r="Z449" s="2702" t="n"/>
      <c r="AA449" s="2702" t="n"/>
    </row>
    <row customHeight="1" ht="15" r="450" s="1843" spans="1:33">
      <c r="C450" s="1548" t="n"/>
      <c r="D450" s="1196" t="n">
        <v>12271</v>
      </c>
      <c r="E450" s="2731" t="n">
        <v>115833.75</v>
      </c>
      <c r="F450" s="2731" t="n">
        <v>32568.38</v>
      </c>
      <c r="G450" s="2731" t="n">
        <v>36935.87</v>
      </c>
      <c r="H450" s="2731" t="n">
        <v>30321.27</v>
      </c>
      <c r="I450" s="2733" t="n">
        <v>56301.1</v>
      </c>
      <c r="J450" s="2733" t="n">
        <v>56301.05</v>
      </c>
      <c r="K450" s="2733" t="n">
        <v>56354.79</v>
      </c>
      <c r="L450" s="2733" t="n">
        <v>56354.71</v>
      </c>
      <c r="M450" s="2733" t="n">
        <v>56928.58</v>
      </c>
      <c r="N450" s="2733" t="n">
        <v>56354.5</v>
      </c>
      <c r="O450" s="2733" t="n">
        <v>56354.41</v>
      </c>
      <c r="P450" s="2733" t="n">
        <v>56354.33</v>
      </c>
      <c r="Q450" s="2731">
        <f>SUM(E450:P450)</f>
        <v/>
      </c>
      <c r="R450" s="2731">
        <f>'[5]FY18 CFG Prev'!Q450</f>
        <v/>
      </c>
      <c r="S450" s="2731" t="n"/>
      <c r="T450" s="2731" t="n"/>
      <c r="V450" s="2731">
        <f>Q450-R450</f>
        <v/>
      </c>
      <c r="W450" s="2731">
        <f>R450-V450</f>
        <v/>
      </c>
      <c r="Y450" s="2702" t="n"/>
      <c r="Z450" s="2702" t="n"/>
      <c r="AA450" s="2702" t="n"/>
    </row>
    <row customHeight="1" ht="15" r="451" s="1843" spans="1:33">
      <c r="D451" s="2554" t="s">
        <v>344</v>
      </c>
      <c r="E451" s="1721">
        <f>E450-E439</f>
        <v/>
      </c>
      <c r="F451" s="1721">
        <f>F450-F439</f>
        <v/>
      </c>
      <c r="G451" s="1721">
        <f>G450-G439</f>
        <v/>
      </c>
      <c r="H451" s="1721">
        <f>H450-H439</f>
        <v/>
      </c>
      <c r="I451" s="1721">
        <f>I450-I439</f>
        <v/>
      </c>
      <c r="J451" s="1721">
        <f>J450-J439</f>
        <v/>
      </c>
      <c r="K451" s="1721">
        <f>K450-K439</f>
        <v/>
      </c>
      <c r="L451" s="1721">
        <f>L450-L439</f>
        <v/>
      </c>
      <c r="M451" s="1721">
        <f>M450-M439</f>
        <v/>
      </c>
      <c r="N451" s="1721">
        <f>N450-N439</f>
        <v/>
      </c>
      <c r="O451" s="1721">
        <f>O450-O439</f>
        <v/>
      </c>
      <c r="P451" s="1721">
        <f>P450-P439</f>
        <v/>
      </c>
      <c r="Q451" s="2731">
        <f>SUM(D451:P451)</f>
        <v/>
      </c>
      <c r="R451" s="2731" t="n"/>
      <c r="S451" s="2731" t="n"/>
      <c r="T451" s="2731" t="n"/>
      <c r="V451" s="2731" t="n"/>
      <c r="W451" s="2731">
        <f>R451-V451</f>
        <v/>
      </c>
      <c r="Y451" s="2702" t="n"/>
      <c r="Z451" s="2702" t="n"/>
      <c r="AA451" s="2702" t="n"/>
    </row>
    <row customFormat="1" customHeight="1" ht="15" r="452" s="2362" spans="1:33">
      <c r="C452" s="1324" t="n"/>
      <c r="D452" s="2762" t="s">
        <v>345</v>
      </c>
      <c r="E452" s="1669">
        <f>E440-47700</f>
        <v/>
      </c>
      <c r="F452" s="1669">
        <f>F440-47700</f>
        <v/>
      </c>
      <c r="G452" s="1669">
        <f>G440-47700</f>
        <v/>
      </c>
      <c r="H452" s="1669">
        <f>H440-45000</f>
        <v/>
      </c>
      <c r="I452" s="1669">
        <f>I440-45000</f>
        <v/>
      </c>
      <c r="J452" s="1669">
        <f>J440-45000</f>
        <v/>
      </c>
      <c r="K452" s="1669">
        <f>K440-45000</f>
        <v/>
      </c>
      <c r="L452" s="1669">
        <f>L440</f>
        <v/>
      </c>
      <c r="M452" s="1669">
        <f>M440</f>
        <v/>
      </c>
      <c r="N452" s="1669">
        <f>N440</f>
        <v/>
      </c>
      <c r="O452" s="1669">
        <f>O440</f>
        <v/>
      </c>
      <c r="P452" s="1669">
        <f>P440</f>
        <v/>
      </c>
      <c r="Q452" s="2731">
        <f>SUM(D452:P452)</f>
        <v/>
      </c>
      <c r="R452" s="2504" t="n"/>
      <c r="S452" s="2505" t="n"/>
      <c r="T452" s="2362" t="n"/>
      <c r="U452" s="2362" t="n"/>
      <c r="V452" s="2362" t="n"/>
      <c r="W452" s="2362" t="n"/>
      <c r="X452" s="2362" t="n"/>
      <c r="Y452" s="2362" t="n"/>
      <c r="Z452" s="2362" t="n"/>
    </row>
    <row r="453" spans="1:33">
      <c r="T453" s="2362" t="n"/>
      <c r="AA453" s="2362" t="n"/>
    </row>
    <row customHeight="1" ht="15" r="454" s="1843" spans="1:33">
      <c r="A454" s="2763" t="s">
        <v>94</v>
      </c>
      <c r="B454" s="2764" t="n">
        <v>50</v>
      </c>
      <c r="C454" s="1237" t="n"/>
      <c r="D454" s="2765" t="n"/>
      <c r="E454" s="2766">
        <f>$B454/$B$459*E$390</f>
        <v/>
      </c>
      <c r="F454" s="2766">
        <f>$B454/$B$459*F$390</f>
        <v/>
      </c>
      <c r="G454" s="2766">
        <f>$B454/$B$459*G$390</f>
        <v/>
      </c>
      <c r="H454" s="2766">
        <f>$B454/$B$459*H$390</f>
        <v/>
      </c>
      <c r="I454" s="2766">
        <f>$B454/$B$459*I$390</f>
        <v/>
      </c>
      <c r="J454" s="2766">
        <f>$B454/$B$459*J$390</f>
        <v/>
      </c>
      <c r="K454" s="2766">
        <f>$B454/$B$459*K$390</f>
        <v/>
      </c>
      <c r="L454" s="2766">
        <f>$B454/$B$459*L$390</f>
        <v/>
      </c>
      <c r="M454" s="2766">
        <f>$B454/$B$459*M$390</f>
        <v/>
      </c>
      <c r="N454" s="2766">
        <f>$B454/$B$459*N$390</f>
        <v/>
      </c>
      <c r="O454" s="2766">
        <f>$B454/$B$459*O$390</f>
        <v/>
      </c>
      <c r="P454" s="2766">
        <f>$B454/$B$459*P$390</f>
        <v/>
      </c>
      <c r="Q454" s="2765" t="n"/>
      <c r="T454" s="2505" t="n"/>
      <c r="U454" s="2362" t="n"/>
      <c r="V454" s="2362" t="n"/>
      <c r="W454" s="2362" t="n"/>
      <c r="X454" s="2362" t="n"/>
      <c r="Y454" s="2362" t="n"/>
      <c r="Z454" s="2362" t="n"/>
      <c r="AA454" s="2362" t="n"/>
    </row>
    <row customHeight="1" ht="15" r="455" s="1843" spans="1:33">
      <c r="A455" s="2763" t="s">
        <v>110</v>
      </c>
      <c r="B455" s="2764" t="n">
        <v>25</v>
      </c>
      <c r="C455" s="1237" t="n"/>
      <c r="D455" s="2765" t="n"/>
      <c r="E455" s="2766">
        <f>B455/$B$459*E$390</f>
        <v/>
      </c>
      <c r="F455" s="2766">
        <f>$B455/$B$459*F$390</f>
        <v/>
      </c>
      <c r="G455" s="2766">
        <f>$B455/$B$459*G$390</f>
        <v/>
      </c>
      <c r="H455" s="2766">
        <f>$B455/$B$459*H$390</f>
        <v/>
      </c>
      <c r="I455" s="2766">
        <f>$B455/$B$459*I$390</f>
        <v/>
      </c>
      <c r="J455" s="2766">
        <f>$B455/$B$459*J$390</f>
        <v/>
      </c>
      <c r="K455" s="2766">
        <f>$B455/$B$459*K$390</f>
        <v/>
      </c>
      <c r="L455" s="2766">
        <f>$B455/$B$459*L$390</f>
        <v/>
      </c>
      <c r="M455" s="2766">
        <f>$B455/$B$459*M$390</f>
        <v/>
      </c>
      <c r="N455" s="2766">
        <f>$B455/$B$459*N$390</f>
        <v/>
      </c>
      <c r="O455" s="2766">
        <f>$B455/$B$459*O$390</f>
        <v/>
      </c>
      <c r="P455" s="2766">
        <f>$B455/$B$459*P$390</f>
        <v/>
      </c>
      <c r="Q455" s="2765" t="n"/>
      <c r="T455" s="2505" t="n"/>
      <c r="U455" s="2362" t="n"/>
      <c r="V455" s="2362" t="n"/>
      <c r="W455" s="2362" t="n"/>
      <c r="X455" s="2362" t="n"/>
      <c r="Y455" s="2362" t="n"/>
      <c r="Z455" s="2362" t="n"/>
      <c r="AA455" s="2362" t="n"/>
    </row>
    <row customHeight="1" ht="15" r="456" s="1843" spans="1:33">
      <c r="A456" s="2763" t="s">
        <v>121</v>
      </c>
      <c r="B456" s="2764" t="n">
        <v>55</v>
      </c>
      <c r="C456" s="1237" t="n"/>
      <c r="D456" s="2765" t="n"/>
      <c r="E456" s="2766">
        <f>B456/$B$459*E$390</f>
        <v/>
      </c>
      <c r="F456" s="2766">
        <f>$B456/$B$459*F$390</f>
        <v/>
      </c>
      <c r="G456" s="2766">
        <f>$B456/$B$459*G$390</f>
        <v/>
      </c>
      <c r="H456" s="2766">
        <f>$B456/$B$459*H$390</f>
        <v/>
      </c>
      <c r="I456" s="2766">
        <f>$B456/$B$459*I$390</f>
        <v/>
      </c>
      <c r="J456" s="2766">
        <f>$B456/$B$459*J$390</f>
        <v/>
      </c>
      <c r="K456" s="2766">
        <f>$B456/$B$459*K$390</f>
        <v/>
      </c>
      <c r="L456" s="2766">
        <f>$B456/$B$459*L$390</f>
        <v/>
      </c>
      <c r="M456" s="2766">
        <f>$B456/$B$459*M$390</f>
        <v/>
      </c>
      <c r="N456" s="2766">
        <f>$B456/$B$459*N$390</f>
        <v/>
      </c>
      <c r="O456" s="2766">
        <f>$B456/$B$459*O$390</f>
        <v/>
      </c>
      <c r="P456" s="2766">
        <f>$B456/$B$459*P$390</f>
        <v/>
      </c>
      <c r="Q456" s="2765" t="n"/>
      <c r="T456" s="2505" t="n"/>
      <c r="U456" s="2362" t="n"/>
      <c r="V456" s="2362" t="n"/>
      <c r="W456" s="2362" t="n"/>
      <c r="X456" s="2362" t="n"/>
      <c r="Y456" s="2362" t="n"/>
      <c r="Z456" s="2362" t="n"/>
      <c r="AA456" s="2362" t="n"/>
    </row>
    <row customHeight="1" ht="15" r="457" s="1843" spans="1:33">
      <c r="A457" s="2763" t="s">
        <v>346</v>
      </c>
      <c r="B457" s="2764" t="n">
        <v>126</v>
      </c>
      <c r="C457" s="1237" t="n"/>
      <c r="D457" s="2765" t="n"/>
      <c r="E457" s="2766">
        <f>B457/$B$459*E$390</f>
        <v/>
      </c>
      <c r="F457" s="2766">
        <f>$B457/$B$459*F$390</f>
        <v/>
      </c>
      <c r="G457" s="2766">
        <f>$B457/$B$459*G$390</f>
        <v/>
      </c>
      <c r="H457" s="2766">
        <f>$B457/$B$459*H$390</f>
        <v/>
      </c>
      <c r="I457" s="2766">
        <f>$B457/$B$459*I$390</f>
        <v/>
      </c>
      <c r="J457" s="2766">
        <f>$B457/$B$459*J$390</f>
        <v/>
      </c>
      <c r="K457" s="2766">
        <f>$B457/$B$459*K$390</f>
        <v/>
      </c>
      <c r="L457" s="2766">
        <f>$B457/$B$459*L$390</f>
        <v/>
      </c>
      <c r="M457" s="2766">
        <f>$B457/$B$459*M$390</f>
        <v/>
      </c>
      <c r="N457" s="2766">
        <f>$B457/$B$459*N$390</f>
        <v/>
      </c>
      <c r="O457" s="2766">
        <f>$B457/$B$459*O$390</f>
        <v/>
      </c>
      <c r="P457" s="2766">
        <f>$B457/$B$459*P$390</f>
        <v/>
      </c>
      <c r="Q457" s="2765" t="n"/>
      <c r="T457" s="2505" t="n"/>
      <c r="U457" s="2362" t="n"/>
      <c r="V457" s="2362" t="n"/>
      <c r="W457" s="2362" t="n"/>
      <c r="X457" s="2362" t="n"/>
      <c r="Y457" s="2362" t="n"/>
      <c r="Z457" s="2362" t="n"/>
      <c r="AA457" s="2362" t="n"/>
    </row>
    <row customHeight="1" ht="15" r="458" s="1843" spans="1:33">
      <c r="A458" s="2763" t="s">
        <v>347</v>
      </c>
      <c r="B458" s="2764" t="n">
        <v>30</v>
      </c>
      <c r="C458" s="1237" t="n"/>
      <c r="D458" s="2765" t="n"/>
      <c r="E458" s="2766">
        <f>$B458/$B$459*E$390</f>
        <v/>
      </c>
      <c r="F458" s="2766">
        <f>$B458/$B$459*F$390</f>
        <v/>
      </c>
      <c r="G458" s="2766">
        <f>$B458/$B$459*G$390</f>
        <v/>
      </c>
      <c r="H458" s="2766">
        <f>$B458/$B$459*H$390</f>
        <v/>
      </c>
      <c r="I458" s="2766">
        <f>$B458/$B$459*I$390</f>
        <v/>
      </c>
      <c r="J458" s="2766">
        <f>$B458/$B$459*J$390</f>
        <v/>
      </c>
      <c r="K458" s="2766">
        <f>$B458/$B$459*K$390</f>
        <v/>
      </c>
      <c r="L458" s="2766">
        <f>$B458/$B$459*L$390</f>
        <v/>
      </c>
      <c r="M458" s="2766">
        <f>$B458/$B$459*M$390</f>
        <v/>
      </c>
      <c r="N458" s="2766">
        <f>$B458/$B$459*N$390</f>
        <v/>
      </c>
      <c r="O458" s="2766">
        <f>$B458/$B$459*O$390</f>
        <v/>
      </c>
      <c r="P458" s="2766">
        <f>$B458/$B$459*P$390</f>
        <v/>
      </c>
      <c r="Q458" s="2765" t="n"/>
      <c r="T458" s="2505" t="n"/>
      <c r="U458" s="2362" t="n"/>
      <c r="V458" s="2362" t="n"/>
      <c r="W458" s="2362" t="n"/>
      <c r="X458" s="2362" t="n"/>
      <c r="Y458" s="2362" t="n"/>
      <c r="Z458" s="2362" t="n"/>
      <c r="AA458" s="2362" t="n"/>
    </row>
    <row r="459" spans="1:33">
      <c r="A459" s="2765" t="n"/>
      <c r="B459" s="2764">
        <f>SUM(B454:B458)</f>
        <v/>
      </c>
      <c r="C459" s="1237" t="n"/>
      <c r="D459" s="2765" t="n"/>
      <c r="E459" s="2765" t="n"/>
      <c r="F459" s="2765" t="n"/>
      <c r="G459" s="2765" t="n"/>
      <c r="H459" s="2765" t="n"/>
      <c r="I459" s="2765" t="n"/>
      <c r="J459" s="2765" t="n"/>
      <c r="K459" s="2765" t="n"/>
      <c r="L459" s="2765" t="n"/>
      <c r="M459" s="2765" t="n"/>
      <c r="N459" s="2765" t="n"/>
      <c r="O459" s="2765" t="n"/>
      <c r="P459" s="2765" t="n"/>
      <c r="Q459" s="2765" t="n"/>
      <c r="T459" s="2505" t="n"/>
      <c r="U459" s="2362" t="n"/>
      <c r="V459" s="2362" t="n"/>
      <c r="W459" s="2362" t="n"/>
      <c r="X459" s="2362" t="n"/>
      <c r="Y459" s="2362" t="n"/>
      <c r="Z459" s="2362" t="n"/>
      <c r="AA459" s="2362" t="n"/>
    </row>
    <row customFormat="1" customHeight="1" ht="15" r="460" s="2767" spans="1:33">
      <c r="C460" s="517" t="n"/>
      <c r="D460" s="2767" t="s">
        <v>94</v>
      </c>
      <c r="E460" s="2768">
        <f>E454+E361/E358*E458</f>
        <v/>
      </c>
      <c r="F460" s="2768">
        <f>F454+F361/F358*F458</f>
        <v/>
      </c>
      <c r="G460" s="2768">
        <f>G454+G361/G358*G458</f>
        <v/>
      </c>
      <c r="H460" s="2768">
        <f>H454+H361/H358*H458</f>
        <v/>
      </c>
      <c r="I460" s="2768">
        <f>I454+I361/I358*I458</f>
        <v/>
      </c>
      <c r="J460" s="2768">
        <f>J454+J361/J358*J458</f>
        <v/>
      </c>
      <c r="K460" s="2768">
        <f>K454+K361/K358*K458</f>
        <v/>
      </c>
      <c r="L460" s="2768">
        <f>L454+L361/L358*L458</f>
        <v/>
      </c>
      <c r="M460" s="2768">
        <f>M454+M361/M358*M458</f>
        <v/>
      </c>
      <c r="N460" s="2768">
        <f>N454+N361/N358*N458</f>
        <v/>
      </c>
      <c r="O460" s="2768">
        <f>O454+O361/O358*O458</f>
        <v/>
      </c>
      <c r="P460" s="2768">
        <f>P454+P361/P358*P458</f>
        <v/>
      </c>
      <c r="Q460" s="2769">
        <f>SUM(E460:P460)</f>
        <v/>
      </c>
      <c r="R460" s="2770" t="n"/>
      <c r="S460" s="2771" t="n"/>
      <c r="T460" s="2771" t="n"/>
    </row>
    <row customFormat="1" customHeight="1" ht="15" r="461" s="2767" spans="1:33">
      <c r="C461" s="517" t="n"/>
      <c r="D461" s="2767" t="s">
        <v>110</v>
      </c>
      <c r="E461" s="2768">
        <f>E455+E359/E358*E458</f>
        <v/>
      </c>
      <c r="F461" s="2768">
        <f>F455+F359/F358*F458</f>
        <v/>
      </c>
      <c r="G461" s="2768">
        <f>G455+G359/G358*G458</f>
        <v/>
      </c>
      <c r="H461" s="2768">
        <f>H455+H359/H358*H458</f>
        <v/>
      </c>
      <c r="I461" s="2768">
        <f>I455+I359/I358*I458</f>
        <v/>
      </c>
      <c r="J461" s="2768">
        <f>J455+J359/J358*J458</f>
        <v/>
      </c>
      <c r="K461" s="2768">
        <f>K455+K359/K358*K458</f>
        <v/>
      </c>
      <c r="L461" s="2768">
        <f>L455+L359/L358*L458</f>
        <v/>
      </c>
      <c r="M461" s="2768">
        <f>M455+M359/M358*M458</f>
        <v/>
      </c>
      <c r="N461" s="2768">
        <f>N455+N359/N358*N458</f>
        <v/>
      </c>
      <c r="O461" s="2768">
        <f>O455+O359/O358*O458</f>
        <v/>
      </c>
      <c r="P461" s="2768">
        <f>P455+P359/P358*P458</f>
        <v/>
      </c>
      <c r="Q461" s="2769">
        <f>SUM(E461:P461)</f>
        <v/>
      </c>
      <c r="R461" s="2770" t="n"/>
      <c r="S461" s="2771" t="n"/>
      <c r="T461" s="2771" t="n"/>
    </row>
    <row customFormat="1" customHeight="1" ht="15" r="462" s="2767" spans="1:33">
      <c r="C462" s="517" t="n"/>
      <c r="D462" s="2767" t="s">
        <v>348</v>
      </c>
      <c r="E462" s="2768">
        <f>E456+E362/E358*E458</f>
        <v/>
      </c>
      <c r="F462" s="2768">
        <f>F456+F362/F358*F458</f>
        <v/>
      </c>
      <c r="G462" s="2768">
        <f>G456+G362/G358*G458</f>
        <v/>
      </c>
      <c r="H462" s="2768">
        <f>H456+H362/H358*H458</f>
        <v/>
      </c>
      <c r="I462" s="2768">
        <f>I456+I362/I358*I458</f>
        <v/>
      </c>
      <c r="J462" s="2768">
        <f>J456+J362/J358*J458</f>
        <v/>
      </c>
      <c r="K462" s="2768">
        <f>K456+K362/K358*K458</f>
        <v/>
      </c>
      <c r="L462" s="2768">
        <f>L456+L362/L358*L458</f>
        <v/>
      </c>
      <c r="M462" s="2768">
        <f>M456+M362/M358*M458</f>
        <v/>
      </c>
      <c r="N462" s="2768">
        <f>N456+N362/N358*N458</f>
        <v/>
      </c>
      <c r="O462" s="2768">
        <f>O456+O362/O358*O458</f>
        <v/>
      </c>
      <c r="P462" s="2768">
        <f>P456+P362/P358*P458</f>
        <v/>
      </c>
      <c r="Q462" s="2769">
        <f>SUM(E462:P462)</f>
        <v/>
      </c>
      <c r="R462" s="2770" t="n"/>
      <c r="S462" s="2771" t="n"/>
      <c r="T462" s="2771" t="n"/>
    </row>
    <row customFormat="1" customHeight="1" ht="15" r="463" s="2767" spans="1:33">
      <c r="C463" s="517" t="n"/>
      <c r="D463" s="2767" t="s">
        <v>346</v>
      </c>
      <c r="E463" s="2768">
        <f>E457+E360/E358*E458</f>
        <v/>
      </c>
      <c r="F463" s="2768">
        <f>F457+F360/F358*F458</f>
        <v/>
      </c>
      <c r="G463" s="2768">
        <f>G457+G360/G358*G458</f>
        <v/>
      </c>
      <c r="H463" s="2768">
        <f>H457+H360/H358*H458</f>
        <v/>
      </c>
      <c r="I463" s="2768">
        <f>I457+I360/I358*I458</f>
        <v/>
      </c>
      <c r="J463" s="2768">
        <f>J457+J360/J358*J458</f>
        <v/>
      </c>
      <c r="K463" s="2768">
        <f>K457+K360/K358*K458</f>
        <v/>
      </c>
      <c r="L463" s="2768">
        <f>L457+L360/L358*L458</f>
        <v/>
      </c>
      <c r="M463" s="2768">
        <f>M457+M360/M358*M458</f>
        <v/>
      </c>
      <c r="N463" s="2768">
        <f>N457+N360/N358*N458</f>
        <v/>
      </c>
      <c r="O463" s="2768">
        <f>O457+O360/O358*O458</f>
        <v/>
      </c>
      <c r="P463" s="2768">
        <f>P457+P360/P358*P458</f>
        <v/>
      </c>
      <c r="Q463" s="2769">
        <f>SUM(E463:P463)</f>
        <v/>
      </c>
      <c r="R463" s="2770" t="n"/>
      <c r="S463" s="2771" t="n"/>
      <c r="T463" s="2771" t="n"/>
    </row>
    <row customFormat="1" customHeight="1" ht="15" r="464" s="2767" spans="1:33">
      <c r="C464" s="517" t="n"/>
      <c r="D464" s="2772" t="n">
        <v>12163</v>
      </c>
      <c r="E464" s="2768">
        <f>E342/E358*E458</f>
        <v/>
      </c>
      <c r="F464" s="2768">
        <f>F342/F358*F458</f>
        <v/>
      </c>
      <c r="G464" s="2768">
        <f>G342/G358*G458</f>
        <v/>
      </c>
      <c r="H464" s="2768">
        <f>H342/H358*H458</f>
        <v/>
      </c>
      <c r="I464" s="2768">
        <f>I342/I358*I458</f>
        <v/>
      </c>
      <c r="J464" s="2768">
        <f>J342/J358*J458</f>
        <v/>
      </c>
      <c r="K464" s="2768">
        <f>K342/K358*K458</f>
        <v/>
      </c>
      <c r="L464" s="2768">
        <f>L342/L358*L458</f>
        <v/>
      </c>
      <c r="M464" s="2768">
        <f>M342/M358*M458</f>
        <v/>
      </c>
      <c r="N464" s="2768">
        <f>N342/N358*N458</f>
        <v/>
      </c>
      <c r="O464" s="2768">
        <f>O342/O358*O458</f>
        <v/>
      </c>
      <c r="P464" s="2768">
        <f>P342/P358*P458</f>
        <v/>
      </c>
      <c r="Q464" s="2769">
        <f>SUM(E464:P464)</f>
        <v/>
      </c>
      <c r="R464" s="2770" t="n"/>
      <c r="S464" s="2771" t="n"/>
      <c r="T464" s="2771" t="n"/>
    </row>
    <row customHeight="1" ht="15" r="465" s="1843" spans="1:33">
      <c r="B465" s="2362" t="n"/>
      <c r="C465" s="2362" t="n"/>
      <c r="D465" s="2773" t="s">
        <v>349</v>
      </c>
      <c r="E465" s="2731">
        <f>SUM(E460:E464)</f>
        <v/>
      </c>
      <c r="F465" s="2731">
        <f>SUM(F460:F464)</f>
        <v/>
      </c>
      <c r="G465" s="2731">
        <f>SUM(G460:G464)</f>
        <v/>
      </c>
      <c r="H465" s="2731">
        <f>SUM(H460:H464)</f>
        <v/>
      </c>
      <c r="I465" s="2731">
        <f>SUM(I460:I464)</f>
        <v/>
      </c>
      <c r="J465" s="2731">
        <f>SUM(J460:J464)</f>
        <v/>
      </c>
      <c r="K465" s="2731">
        <f>SUM(K460:K464)</f>
        <v/>
      </c>
      <c r="L465" s="2731">
        <f>SUM(L460:L464)</f>
        <v/>
      </c>
      <c r="M465" s="2731">
        <f>SUM(M460:M464)</f>
        <v/>
      </c>
      <c r="N465" s="2731">
        <f>SUM(N460:N464)</f>
        <v/>
      </c>
      <c r="O465" s="2731">
        <f>SUM(O460:O464)</f>
        <v/>
      </c>
      <c r="P465" s="2731">
        <f>SUM(P460:P464)</f>
        <v/>
      </c>
      <c r="Q465" s="2731">
        <f>SUM(E465:P465)</f>
        <v/>
      </c>
      <c r="R465" s="2362" t="n"/>
      <c r="S465" s="2362" t="n"/>
      <c r="T465" s="2362" t="n"/>
      <c r="U465" s="2362" t="n"/>
      <c r="V465" s="2362" t="n"/>
      <c r="W465" s="2362" t="n"/>
      <c r="X465" s="2362" t="n"/>
      <c r="Y465" s="2362" t="n"/>
      <c r="Z465" s="2362" t="n"/>
      <c r="AA465" s="2362" t="n"/>
    </row>
    <row customHeight="1" ht="15" r="466" s="1843" spans="1:33">
      <c r="B466" s="2362" t="n"/>
      <c r="C466" s="2362" t="n"/>
      <c r="D466" s="2773" t="s">
        <v>350</v>
      </c>
      <c r="E466" s="2731">
        <f>E465-E390</f>
        <v/>
      </c>
      <c r="F466" s="2731">
        <f>F465-F390</f>
        <v/>
      </c>
      <c r="G466" s="2731">
        <f>G465-G390</f>
        <v/>
      </c>
      <c r="H466" s="2731">
        <f>H465-H390</f>
        <v/>
      </c>
      <c r="I466" s="2731">
        <f>I465-I390</f>
        <v/>
      </c>
      <c r="J466" s="2731">
        <f>J465-J390</f>
        <v/>
      </c>
      <c r="K466" s="2731">
        <f>K465-K390</f>
        <v/>
      </c>
      <c r="L466" s="2731">
        <f>L465-L390</f>
        <v/>
      </c>
      <c r="M466" s="2731">
        <f>M465-M390</f>
        <v/>
      </c>
      <c r="N466" s="2731">
        <f>N465-N390</f>
        <v/>
      </c>
      <c r="O466" s="2731">
        <f>O465-O390</f>
        <v/>
      </c>
      <c r="P466" s="2731">
        <f>P465-P390</f>
        <v/>
      </c>
      <c r="R466" s="2362" t="n"/>
      <c r="S466" s="2362" t="n"/>
      <c r="T466" s="2362" t="n"/>
      <c r="U466" s="2362" t="n"/>
      <c r="V466" s="2362" t="n"/>
      <c r="W466" s="2362" t="n"/>
      <c r="X466" s="2362" t="n"/>
      <c r="Y466" s="2362" t="n"/>
      <c r="Z466" s="2362" t="n"/>
      <c r="AA466" s="2362" t="n"/>
    </row>
    <row customHeight="1" ht="15" r="467" s="1843" spans="1:33">
      <c r="B467" s="2362" t="n"/>
      <c r="C467" s="2362" t="n"/>
      <c r="D467" s="2773" t="n"/>
      <c r="E467" s="2731" t="n"/>
      <c r="F467" s="2731" t="n"/>
      <c r="G467" s="2731" t="n"/>
      <c r="H467" s="2731" t="n"/>
      <c r="I467" s="2731" t="n"/>
      <c r="J467" s="2731" t="n"/>
      <c r="K467" s="2731" t="n"/>
      <c r="L467" s="2731" t="n"/>
      <c r="M467" s="2731" t="n"/>
      <c r="N467" s="2731" t="n"/>
      <c r="O467" s="2731" t="n"/>
      <c r="P467" s="2731" t="n"/>
      <c r="R467" s="2362" t="n"/>
      <c r="S467" s="2362" t="n"/>
      <c r="T467" s="2362" t="n"/>
      <c r="U467" s="2362" t="n"/>
      <c r="V467" s="2362" t="n"/>
      <c r="W467" s="2362" t="n"/>
      <c r="X467" s="2362" t="n"/>
      <c r="Y467" s="2362" t="n"/>
      <c r="Z467" s="2362" t="n"/>
      <c r="AA467" s="2362" t="n"/>
    </row>
    <row r="468" spans="1:33">
      <c r="T468" s="2362" t="n"/>
      <c r="Y468" s="2702" t="n"/>
      <c r="Z468" s="2702" t="n"/>
      <c r="AA468" s="2702" t="n"/>
    </row>
    <row customHeight="1" ht="15.75" outlineLevel="1" r="469" s="1843" spans="1:33">
      <c r="A469" s="2642" t="n"/>
      <c r="B469" s="2634" t="n"/>
      <c r="C469" s="246" t="n"/>
      <c r="D469" s="2382" t="s">
        <v>189</v>
      </c>
      <c r="E469" s="11" t="n">
        <v>34704.52</v>
      </c>
      <c r="F469" s="1380" t="n">
        <v>33028.3</v>
      </c>
      <c r="G469" s="1380" t="n">
        <v>38673.2</v>
      </c>
      <c r="H469" s="815" t="n">
        <v>35472.08</v>
      </c>
      <c r="I469" s="815" t="n">
        <v>35000</v>
      </c>
      <c r="J469" s="815" t="n">
        <v>35000</v>
      </c>
      <c r="K469" s="815" t="n">
        <v>35000</v>
      </c>
      <c r="L469" s="832" t="n">
        <v>35000</v>
      </c>
      <c r="M469" s="832" t="n">
        <v>35000</v>
      </c>
      <c r="N469" s="832" t="n">
        <v>35000</v>
      </c>
      <c r="O469" s="832" t="n">
        <v>35000</v>
      </c>
      <c r="P469" s="832" t="n">
        <v>35000</v>
      </c>
      <c r="Q469" s="241">
        <f>SUM(E469:P469)</f>
        <v/>
      </c>
      <c r="T469" s="2362" t="n"/>
      <c r="Y469" s="2702" t="n"/>
      <c r="Z469" s="2702" t="n"/>
      <c r="AA469" s="2702" t="n"/>
    </row>
    <row outlineLevel="1" r="470" s="1843" spans="1:33">
      <c r="A470" s="2646" t="n"/>
      <c r="B470" s="2634" t="n"/>
      <c r="C470" s="246" t="n"/>
      <c r="D470" s="2382" t="s">
        <v>158</v>
      </c>
      <c r="E470" s="8" t="n">
        <v>5438.08</v>
      </c>
      <c r="F470" s="9" t="n">
        <v>5438.059999999999</v>
      </c>
      <c r="G470" s="9" t="n">
        <v>5263.75</v>
      </c>
      <c r="H470" s="818" t="n">
        <v>5263.74</v>
      </c>
      <c r="I470" s="818" t="n">
        <v>8121.86</v>
      </c>
      <c r="J470" s="818" t="n">
        <v>8121.86</v>
      </c>
      <c r="K470" s="818" t="n">
        <v>8179.3767</v>
      </c>
      <c r="L470" s="760" t="n">
        <v>8179.3767</v>
      </c>
      <c r="M470" s="760" t="n">
        <v>8262.709999999999</v>
      </c>
      <c r="N470" s="760" t="n">
        <v>8429.376700000001</v>
      </c>
      <c r="O470" s="760" t="n">
        <v>8429.376700000001</v>
      </c>
      <c r="P470" s="760" t="n">
        <v>8429.376700000001</v>
      </c>
      <c r="Q470" s="241">
        <f>SUM(E470:P470)</f>
        <v/>
      </c>
      <c r="T470" s="2362" t="n"/>
      <c r="Y470" s="2702" t="n"/>
      <c r="Z470" s="2702" t="n"/>
      <c r="AA470" s="2702" t="n"/>
    </row>
    <row customHeight="1" ht="15.75" outlineLevel="1" r="471" s="1843" spans="1:33">
      <c r="A471" s="2645" t="n"/>
      <c r="B471" s="2634" t="n"/>
      <c r="C471" s="246" t="n"/>
      <c r="D471" s="2382" t="s">
        <v>192</v>
      </c>
      <c r="E471" s="8" t="n">
        <v>3407.77</v>
      </c>
      <c r="F471" s="9" t="n">
        <v>927.59</v>
      </c>
      <c r="G471" s="1380" t="n">
        <v>4889.53</v>
      </c>
      <c r="H471" s="818" t="n"/>
      <c r="I471" s="818" t="n">
        <v>1150</v>
      </c>
      <c r="J471" s="818" t="n">
        <v>1150</v>
      </c>
      <c r="K471" s="818" t="n">
        <v>1150</v>
      </c>
      <c r="L471" s="760" t="n">
        <v>1150</v>
      </c>
      <c r="M471" s="760" t="n">
        <v>1150</v>
      </c>
      <c r="N471" s="760" t="n">
        <v>1150</v>
      </c>
      <c r="O471" s="760" t="n">
        <v>1150</v>
      </c>
      <c r="P471" s="761" t="n">
        <v>1150</v>
      </c>
      <c r="Q471" s="241">
        <f>SUM(E471:P471)</f>
        <v/>
      </c>
      <c r="T471" s="2362" t="n"/>
      <c r="Y471" s="2702" t="n"/>
      <c r="Z471" s="2702" t="n"/>
      <c r="AA471" s="2702" t="n"/>
    </row>
    <row customHeight="1" ht="15.75" outlineLevel="1" r="472" s="1843" spans="1:33">
      <c r="A472" s="2648" t="n"/>
      <c r="B472" s="2634" t="n"/>
      <c r="C472" s="246" t="n"/>
      <c r="D472" s="2382" t="s">
        <v>253</v>
      </c>
      <c r="E472" s="11" t="n">
        <v>4716.98</v>
      </c>
      <c r="F472" s="1380" t="n">
        <v>4716.98</v>
      </c>
      <c r="G472" s="1380" t="n">
        <v>4716.99</v>
      </c>
      <c r="H472" s="818" t="n">
        <v>5503.09</v>
      </c>
      <c r="I472" s="818" t="n">
        <v>4800</v>
      </c>
      <c r="J472" s="818" t="n">
        <v>4800</v>
      </c>
      <c r="K472" s="818" t="n">
        <v>4800</v>
      </c>
      <c r="L472" s="760" t="n">
        <v>4800</v>
      </c>
      <c r="M472" s="760" t="n">
        <v>4800</v>
      </c>
      <c r="N472" s="760" t="n">
        <v>4800</v>
      </c>
      <c r="O472" s="760" t="n">
        <v>4800</v>
      </c>
      <c r="P472" s="760" t="n">
        <v>4800</v>
      </c>
      <c r="Q472" s="241">
        <f>SUM(E472:P472)</f>
        <v/>
      </c>
      <c r="Y472" s="2702" t="n"/>
      <c r="Z472" s="2702" t="n"/>
      <c r="AA472" s="2702" t="n"/>
    </row>
    <row customHeight="1" ht="15.75" outlineLevel="1" r="473" s="1843" spans="1:33">
      <c r="A473" s="2648" t="n"/>
      <c r="B473" s="2634" t="n"/>
      <c r="C473" s="246" t="n"/>
      <c r="D473" s="2382" t="s">
        <v>254</v>
      </c>
      <c r="E473" s="11" t="n"/>
      <c r="F473" s="1380" t="n"/>
      <c r="G473" s="1380" t="n"/>
      <c r="H473" s="1380" t="n"/>
      <c r="I473" s="1380" t="n"/>
      <c r="J473" s="1380" t="n"/>
      <c r="K473" s="1380" t="n"/>
      <c r="L473" s="760" t="n"/>
      <c r="M473" s="760" t="n"/>
      <c r="N473" s="760" t="n"/>
      <c r="O473" s="760" t="n"/>
      <c r="P473" s="761" t="n"/>
      <c r="Q473" s="241">
        <f>SUM(E473:P473)</f>
        <v/>
      </c>
      <c r="R473" s="2362" t="n"/>
      <c r="S473" s="2362" t="n"/>
      <c r="T473" s="2362" t="n"/>
      <c r="Y473" s="2702" t="n"/>
      <c r="Z473" s="2702" t="n"/>
      <c r="AA473" s="2702" t="n"/>
    </row>
    <row customHeight="1" ht="15.75" outlineLevel="1" r="474" s="1843" spans="1:33">
      <c r="A474" s="2648" t="n"/>
      <c r="B474" s="2634" t="n"/>
      <c r="C474" s="246" t="n"/>
      <c r="D474" s="2382" t="s">
        <v>255</v>
      </c>
      <c r="E474" s="8" t="n">
        <v>32.19</v>
      </c>
      <c r="F474" s="9" t="n">
        <v>46.9</v>
      </c>
      <c r="G474" s="9" t="n">
        <v>3192</v>
      </c>
      <c r="H474" s="815" t="n">
        <v>24.69</v>
      </c>
      <c r="I474" s="815" t="n"/>
      <c r="J474" s="815" t="n"/>
      <c r="K474" s="818" t="n"/>
      <c r="L474" s="760" t="n"/>
      <c r="M474" s="760" t="n"/>
      <c r="N474" s="760" t="n"/>
      <c r="O474" s="760" t="n"/>
      <c r="P474" s="760" t="n"/>
      <c r="Q474" s="241">
        <f>SUM(E474:P474)</f>
        <v/>
      </c>
      <c r="R474" s="2362" t="n"/>
      <c r="S474" s="2362" t="n"/>
      <c r="T474" s="2362" t="n"/>
      <c r="Y474" s="2702" t="n"/>
      <c r="Z474" s="2702" t="n"/>
      <c r="AA474" s="2702" t="n"/>
    </row>
    <row r="475" spans="1:33">
      <c r="D475" s="2774" t="s">
        <v>351</v>
      </c>
      <c r="E475" s="54">
        <f>SUM(E469:E474)</f>
        <v/>
      </c>
      <c r="F475" s="41">
        <f>SUM(F469:F474)</f>
        <v/>
      </c>
      <c r="G475" s="1670">
        <f>SUM(G469:G474)</f>
        <v/>
      </c>
      <c r="H475" s="1192">
        <f>SUM(H469:H474)</f>
        <v/>
      </c>
      <c r="I475" s="1192">
        <f>SUM(I469:I474)</f>
        <v/>
      </c>
      <c r="J475" s="1192">
        <f>SUM(J469:J474)</f>
        <v/>
      </c>
      <c r="K475" s="1192">
        <f>SUM(K469:K474)</f>
        <v/>
      </c>
      <c r="L475" s="1193">
        <f>SUM(L469:L474)</f>
        <v/>
      </c>
      <c r="M475" s="1193">
        <f>SUM(M469:M474)</f>
        <v/>
      </c>
      <c r="N475" s="1193">
        <f>SUM(N469:N474)</f>
        <v/>
      </c>
      <c r="O475" s="1193">
        <f>SUM(O469:O474)</f>
        <v/>
      </c>
      <c r="P475" s="1194">
        <f>SUM(P469:P474)</f>
        <v/>
      </c>
      <c r="Q475" s="1579">
        <f>SUM(E475:P475)</f>
        <v/>
      </c>
      <c r="R475" s="2362" t="n"/>
      <c r="S475" s="2362" t="n"/>
      <c r="T475" s="2362" t="n"/>
      <c r="Y475" s="2702" t="n"/>
      <c r="Z475" s="2702" t="n"/>
      <c r="AA475" s="2702" t="n"/>
    </row>
    <row r="476" spans="1:33">
      <c r="R476" s="2362" t="n"/>
      <c r="S476" s="2362" t="n"/>
      <c r="T476" s="2362" t="n"/>
      <c r="Y476" s="2702" t="n"/>
      <c r="Z476" s="2702" t="n"/>
      <c r="AA476" s="2702" t="n"/>
    </row>
    <row r="477" spans="1:33">
      <c r="D477" s="2477" t="s">
        <v>352</v>
      </c>
      <c r="E477" s="11">
        <f>E475*E350/E355</f>
        <v/>
      </c>
      <c r="F477" s="11">
        <f>F475*F350/F355</f>
        <v/>
      </c>
      <c r="G477" s="11">
        <f>G475*G350/G355</f>
        <v/>
      </c>
      <c r="H477" s="817">
        <f>H475*H350/H355</f>
        <v/>
      </c>
      <c r="I477" s="817">
        <f>I475*I350/I355</f>
        <v/>
      </c>
      <c r="J477" s="817">
        <f>J475*J350/J355</f>
        <v/>
      </c>
      <c r="K477" s="817">
        <f>K475*K350/K355</f>
        <v/>
      </c>
      <c r="L477" s="817">
        <f>L475*L350/L355</f>
        <v/>
      </c>
      <c r="M477" s="817">
        <f>M475*M350/M355</f>
        <v/>
      </c>
      <c r="N477" s="817">
        <f>N475*N350/N355</f>
        <v/>
      </c>
      <c r="O477" s="817">
        <f>O475*O350/O355</f>
        <v/>
      </c>
      <c r="P477" s="817">
        <f>P475*P350/P355</f>
        <v/>
      </c>
      <c r="Q477" s="2477" t="n"/>
      <c r="R477" s="2362" t="n"/>
      <c r="S477" s="2362" t="n"/>
      <c r="T477" s="2362" t="n"/>
      <c r="Y477" s="2702" t="n"/>
      <c r="Z477" s="2702" t="n"/>
      <c r="AA477" s="2702" t="n"/>
    </row>
    <row r="478" spans="1:33">
      <c r="D478" s="2477" t="s">
        <v>353</v>
      </c>
      <c r="E478" s="11">
        <f>E475*E351/E355</f>
        <v/>
      </c>
      <c r="F478" s="11">
        <f>F475*F351/F355</f>
        <v/>
      </c>
      <c r="G478" s="11">
        <f>G475*G351/G355</f>
        <v/>
      </c>
      <c r="H478" s="817">
        <f>H475*H351/H355</f>
        <v/>
      </c>
      <c r="I478" s="817">
        <f>I475*I351/I355</f>
        <v/>
      </c>
      <c r="J478" s="817">
        <f>J475*J351/J355</f>
        <v/>
      </c>
      <c r="K478" s="817">
        <f>K475*K351/K355</f>
        <v/>
      </c>
      <c r="L478" s="817">
        <f>L475*L351/L355</f>
        <v/>
      </c>
      <c r="M478" s="817">
        <f>M475*M351/M355</f>
        <v/>
      </c>
      <c r="N478" s="817">
        <f>N475*N351/N355</f>
        <v/>
      </c>
      <c r="O478" s="817">
        <f>O475*O351/O355</f>
        <v/>
      </c>
      <c r="P478" s="817">
        <f>P475*P351/P355</f>
        <v/>
      </c>
      <c r="Q478" s="2477" t="n"/>
      <c r="R478" s="2362" t="n"/>
      <c r="S478" s="2362" t="n"/>
      <c r="T478" s="2362" t="n"/>
      <c r="Y478" s="2702" t="n"/>
      <c r="Z478" s="2702" t="n"/>
      <c r="AA478" s="2702" t="n"/>
    </row>
    <row r="479" spans="1:33">
      <c r="D479" s="2477" t="s">
        <v>354</v>
      </c>
      <c r="E479" s="11">
        <f>E475*E352/E355</f>
        <v/>
      </c>
      <c r="F479" s="11">
        <f>F475*F352/F355</f>
        <v/>
      </c>
      <c r="G479" s="11">
        <f>G475*G352/G355</f>
        <v/>
      </c>
      <c r="H479" s="817">
        <f>H475*H352/H355</f>
        <v/>
      </c>
      <c r="I479" s="817">
        <f>I475*I352/I355</f>
        <v/>
      </c>
      <c r="J479" s="817">
        <f>J475*J352/J355</f>
        <v/>
      </c>
      <c r="K479" s="817">
        <f>K475*K352/K355</f>
        <v/>
      </c>
      <c r="L479" s="817">
        <f>L475*L352/L355</f>
        <v/>
      </c>
      <c r="M479" s="817">
        <f>M475*M352/M355</f>
        <v/>
      </c>
      <c r="N479" s="817">
        <f>N475*N352/N355</f>
        <v/>
      </c>
      <c r="O479" s="817">
        <f>O475*O352/O355</f>
        <v/>
      </c>
      <c r="P479" s="817">
        <f>P475*P352/P355</f>
        <v/>
      </c>
      <c r="Q479" s="2477" t="n"/>
      <c r="R479" s="2362" t="n"/>
      <c r="S479" s="2362" t="n"/>
      <c r="T479" s="2362" t="n"/>
      <c r="Y479" s="2702" t="n"/>
      <c r="Z479" s="2702" t="n"/>
      <c r="AA479" s="2702" t="n"/>
    </row>
    <row r="480" spans="1:33">
      <c r="D480" s="2477" t="s">
        <v>355</v>
      </c>
      <c r="E480" s="11">
        <f>E475*E353/E355</f>
        <v/>
      </c>
      <c r="F480" s="11">
        <f>F475*F353/F355</f>
        <v/>
      </c>
      <c r="G480" s="11">
        <f>G475*G353/G355</f>
        <v/>
      </c>
      <c r="H480" s="817">
        <f>H475*H353/H355</f>
        <v/>
      </c>
      <c r="I480" s="817">
        <f>I475*I353/I355</f>
        <v/>
      </c>
      <c r="J480" s="817">
        <f>J475*J353/J355</f>
        <v/>
      </c>
      <c r="K480" s="817">
        <f>K475*K353/K355</f>
        <v/>
      </c>
      <c r="L480" s="817">
        <f>L475*L353/L355</f>
        <v/>
      </c>
      <c r="M480" s="817">
        <f>M475*M353/M355</f>
        <v/>
      </c>
      <c r="N480" s="817">
        <f>N475*N353/N355</f>
        <v/>
      </c>
      <c r="O480" s="817">
        <f>O475*O353/O355</f>
        <v/>
      </c>
      <c r="P480" s="817">
        <f>P475*P353/P355</f>
        <v/>
      </c>
      <c r="Q480" s="2477" t="n"/>
      <c r="R480" s="2362" t="n"/>
      <c r="S480" s="2362" t="n"/>
      <c r="T480" s="2362" t="n"/>
      <c r="Y480" s="2702" t="n"/>
      <c r="Z480" s="2702" t="n"/>
      <c r="AA480" s="2702" t="n"/>
    </row>
    <row r="481" spans="1:33">
      <c r="D481" s="2477" t="s">
        <v>356</v>
      </c>
      <c r="E481" s="11">
        <f>E475*E354/E355</f>
        <v/>
      </c>
      <c r="F481" s="11">
        <f>F475*F354/F355</f>
        <v/>
      </c>
      <c r="G481" s="11">
        <f>G475*G354/G355</f>
        <v/>
      </c>
      <c r="H481" s="817">
        <f>H475*H354/H355</f>
        <v/>
      </c>
      <c r="I481" s="817">
        <f>I475*I354/I355</f>
        <v/>
      </c>
      <c r="J481" s="817">
        <f>J475*J354/J355</f>
        <v/>
      </c>
      <c r="K481" s="817">
        <f>K475*K354/K355</f>
        <v/>
      </c>
      <c r="L481" s="817">
        <f>L475*L354/L355</f>
        <v/>
      </c>
      <c r="M481" s="817">
        <f>M475*M354/M355</f>
        <v/>
      </c>
      <c r="N481" s="817">
        <f>N475*N354/N355</f>
        <v/>
      </c>
      <c r="O481" s="817">
        <f>O475*O354/O355</f>
        <v/>
      </c>
      <c r="P481" s="817">
        <f>P475*P354/P355</f>
        <v/>
      </c>
      <c r="Q481" s="2477" t="n"/>
      <c r="R481" s="2362" t="n"/>
      <c r="S481" s="2362" t="n"/>
      <c r="T481" s="2362" t="n"/>
      <c r="Y481" s="2702" t="n"/>
      <c r="Z481" s="2702" t="n"/>
      <c r="AA481" s="2702" t="n"/>
    </row>
    <row r="482" spans="1:33">
      <c r="D482" s="2477" t="s">
        <v>350</v>
      </c>
      <c r="E482" s="2775">
        <f>SUM(E477:E481)-E475</f>
        <v/>
      </c>
      <c r="F482" s="2775">
        <f>SUM(F477:F481)-F475</f>
        <v/>
      </c>
      <c r="G482" s="2775">
        <f>SUM(G477:G481)-G475</f>
        <v/>
      </c>
      <c r="H482" s="2775">
        <f>SUM(H477:H481)-H475</f>
        <v/>
      </c>
      <c r="I482" s="2775">
        <f>SUM(I477:I481)-I475</f>
        <v/>
      </c>
      <c r="J482" s="2775">
        <f>SUM(J477:J481)-J475</f>
        <v/>
      </c>
      <c r="K482" s="2775">
        <f>SUM(K477:K481)-K475</f>
        <v/>
      </c>
      <c r="L482" s="2775">
        <f>SUM(L477:L481)-L475</f>
        <v/>
      </c>
      <c r="M482" s="2775">
        <f>SUM(M477:M481)-M475</f>
        <v/>
      </c>
      <c r="N482" s="2775">
        <f>SUM(N477:N481)-N475</f>
        <v/>
      </c>
      <c r="O482" s="2775">
        <f>SUM(O477:O481)-O475</f>
        <v/>
      </c>
      <c r="P482" s="2775">
        <f>SUM(P477:P481)-P475</f>
        <v/>
      </c>
      <c r="Q482" s="2477" t="n"/>
      <c r="R482" s="2362" t="n"/>
      <c r="S482" s="2362" t="n"/>
      <c r="T482" s="2362" t="n"/>
      <c r="Y482" s="2702" t="n"/>
      <c r="Z482" s="2702" t="n"/>
      <c r="AA482" s="2702" t="n"/>
    </row>
    <row r="483" spans="1:33">
      <c r="R483" s="2362" t="n"/>
      <c r="S483" s="2362" t="n"/>
      <c r="T483" s="2362" t="n"/>
      <c r="Y483" s="2702" t="n"/>
      <c r="Z483" s="2702" t="n"/>
      <c r="AA483" s="2702" t="n"/>
    </row>
    <row r="484" spans="1:33">
      <c r="D484" s="2776" t="s">
        <v>357</v>
      </c>
      <c r="E484" s="1327" t="n"/>
      <c r="F484" s="815" t="n"/>
      <c r="G484" s="818" t="n"/>
      <c r="H484" s="818" t="n"/>
      <c r="I484" s="1327" t="n">
        <v>58.24</v>
      </c>
      <c r="J484" s="815" t="n">
        <v>58.24</v>
      </c>
      <c r="K484" s="818" t="n">
        <v>119.34</v>
      </c>
      <c r="L484" s="818" t="n">
        <v>119.34</v>
      </c>
      <c r="M484" s="818" t="n">
        <v>119.34</v>
      </c>
      <c r="N484" s="818" t="n">
        <v>119.34</v>
      </c>
      <c r="O484" s="818" t="n">
        <v>119.34</v>
      </c>
      <c r="P484" s="760" t="n">
        <v>119.34</v>
      </c>
      <c r="Q484" s="241">
        <f>SUM(E484:P484)</f>
        <v/>
      </c>
      <c r="R484" s="2362" t="n"/>
      <c r="S484" s="2362" t="n"/>
      <c r="T484" s="2362" t="n"/>
      <c r="Y484" s="2702" t="n"/>
      <c r="Z484" s="2702" t="n"/>
      <c r="AA484" s="2702" t="n"/>
    </row>
    <row r="485" spans="1:33">
      <c r="D485" s="2362" t="s">
        <v>358</v>
      </c>
      <c r="E485" s="8" t="n">
        <v>31.2</v>
      </c>
      <c r="F485" s="9" t="n">
        <v>42.46</v>
      </c>
      <c r="G485" s="1380" t="n">
        <v>41.11</v>
      </c>
      <c r="H485" s="1380" t="n">
        <v>27.11</v>
      </c>
      <c r="I485" s="1327" t="n">
        <v>-1.96999999999999</v>
      </c>
      <c r="J485" s="815" t="n">
        <v>4.15000000000004</v>
      </c>
      <c r="K485" s="818" t="n">
        <v>66.45999999999999</v>
      </c>
      <c r="L485" s="818" t="n">
        <v>63.92</v>
      </c>
      <c r="M485" s="818" t="n">
        <v>62.35</v>
      </c>
      <c r="N485" s="818" t="n">
        <v>42.45</v>
      </c>
      <c r="O485" s="818" t="n">
        <v>42.1</v>
      </c>
      <c r="P485" s="760" t="n">
        <v>40.86</v>
      </c>
      <c r="Q485" s="241">
        <f>SUM(E485:P485)</f>
        <v/>
      </c>
      <c r="R485" s="2362" t="n"/>
      <c r="S485" s="2362" t="n"/>
      <c r="T485" s="2362" t="n"/>
      <c r="Y485" s="2702" t="n"/>
      <c r="Z485" s="2702" t="n"/>
      <c r="AA485" s="2702" t="n"/>
    </row>
    <row r="486" spans="1:33">
      <c r="D486" s="2362" t="s">
        <v>359</v>
      </c>
      <c r="E486" s="8" t="n"/>
      <c r="F486" s="9" t="n"/>
      <c r="G486" s="1380" t="n"/>
      <c r="H486" s="818" t="n"/>
      <c r="I486" s="1327" t="n">
        <v>118.5</v>
      </c>
      <c r="J486" s="815" t="n">
        <v>118.5</v>
      </c>
      <c r="K486" s="818" t="n">
        <v>118.5</v>
      </c>
      <c r="L486" s="818" t="n">
        <v>118.5</v>
      </c>
      <c r="M486" s="818" t="n">
        <v>118.5</v>
      </c>
      <c r="N486" s="818" t="n">
        <v>118.5</v>
      </c>
      <c r="O486" s="818" t="n">
        <v>118.5</v>
      </c>
      <c r="P486" s="760" t="n">
        <v>118.5</v>
      </c>
      <c r="Q486" s="241">
        <f>SUM(E486:P486)</f>
        <v/>
      </c>
      <c r="R486" s="2362" t="n"/>
      <c r="S486" s="2362" t="n"/>
      <c r="T486" s="2362" t="n"/>
      <c r="Y486" s="2702" t="n"/>
      <c r="Z486" s="2702" t="n"/>
      <c r="AA486" s="2702" t="n"/>
    </row>
    <row r="487" spans="1:33">
      <c r="D487" s="2362" t="s">
        <v>360</v>
      </c>
      <c r="E487" s="8" t="n"/>
      <c r="F487" s="9" t="n"/>
      <c r="G487" s="1380" t="n"/>
      <c r="H487" s="818" t="n"/>
      <c r="I487" s="1327" t="n">
        <v>40.3</v>
      </c>
      <c r="J487" s="815" t="n">
        <v>40.3</v>
      </c>
      <c r="K487" s="818" t="n">
        <v>53.3</v>
      </c>
      <c r="L487" s="818" t="n">
        <v>53.3</v>
      </c>
      <c r="M487" s="818" t="n">
        <v>53.3</v>
      </c>
      <c r="N487" s="818" t="n">
        <v>53.3</v>
      </c>
      <c r="O487" s="818" t="n">
        <v>53.3</v>
      </c>
      <c r="P487" s="760" t="n">
        <v>53.3</v>
      </c>
      <c r="Q487" s="241">
        <f>SUM(E487:P487)</f>
        <v/>
      </c>
      <c r="R487" s="2362" t="n"/>
      <c r="S487" s="2362" t="n"/>
      <c r="T487" s="2362" t="n"/>
      <c r="Y487" s="2702" t="n"/>
      <c r="Z487" s="2702" t="n"/>
      <c r="AA487" s="2702" t="n"/>
    </row>
    <row r="488" spans="1:33">
      <c r="D488" s="2776" t="s">
        <v>361</v>
      </c>
      <c r="E488" s="8" t="n">
        <v>36813.86</v>
      </c>
      <c r="F488" s="9" t="n">
        <v>36813.86</v>
      </c>
      <c r="G488" s="9" t="n">
        <v>36813.86</v>
      </c>
      <c r="H488" s="9" t="n">
        <v>36813.86</v>
      </c>
      <c r="I488" s="815" t="n">
        <v>38361.61</v>
      </c>
      <c r="J488" s="815" t="n">
        <v>38361.61</v>
      </c>
      <c r="K488" s="815" t="n">
        <v>36689.48</v>
      </c>
      <c r="L488" s="815" t="n">
        <v>36689.48</v>
      </c>
      <c r="M488" s="815" t="n">
        <v>36689.48</v>
      </c>
      <c r="N488" s="815" t="n">
        <v>36689.48</v>
      </c>
      <c r="O488" s="815" t="n">
        <v>36689.48</v>
      </c>
      <c r="P488" s="815" t="n">
        <v>36689.48</v>
      </c>
      <c r="Q488" s="241">
        <f>SUM(E488:P488)</f>
        <v/>
      </c>
      <c r="R488" s="2362" t="n"/>
      <c r="S488" s="2362" t="n"/>
      <c r="T488" s="2362" t="n"/>
      <c r="Y488" s="2702" t="n"/>
      <c r="Z488" s="2702" t="n"/>
      <c r="AA488" s="2702" t="n"/>
    </row>
    <row r="489" spans="1:33">
      <c r="D489" s="2362" t="s">
        <v>362</v>
      </c>
      <c r="E489" s="8" t="n">
        <v>7608.379999999999</v>
      </c>
      <c r="F489" s="9" t="n">
        <v>10359.91</v>
      </c>
      <c r="G489" s="1380" t="n">
        <v>10038.55</v>
      </c>
      <c r="H489" s="1380" t="n">
        <v>6612.610000000001</v>
      </c>
      <c r="I489" s="1327" t="n">
        <v>-479.350000000008</v>
      </c>
      <c r="J489" s="815" t="n">
        <v>1013.65999999999</v>
      </c>
      <c r="K489" s="818" t="n">
        <v>16217.94</v>
      </c>
      <c r="L489" s="818" t="n">
        <v>15599</v>
      </c>
      <c r="M489" s="818" t="n">
        <v>15215.93</v>
      </c>
      <c r="N489" s="818" t="n">
        <v>10359.58</v>
      </c>
      <c r="O489" s="818" t="n">
        <v>10274.18</v>
      </c>
      <c r="P489" s="760" t="n">
        <v>9970.51</v>
      </c>
      <c r="Q489" s="241">
        <f>SUM(E489:P489)</f>
        <v/>
      </c>
      <c r="R489" s="2362" t="n"/>
      <c r="S489" s="2362" t="n"/>
      <c r="T489" s="2362" t="n"/>
      <c r="Y489" s="2702" t="n"/>
      <c r="Z489" s="2702" t="n"/>
      <c r="AA489" s="2702" t="n"/>
    </row>
    <row r="490" spans="1:33">
      <c r="D490" s="2362" t="s">
        <v>363</v>
      </c>
      <c r="E490" s="1327" t="n"/>
      <c r="F490" s="815" t="n"/>
      <c r="G490" s="1380" t="n"/>
      <c r="H490" s="818" t="n"/>
      <c r="I490" s="1327" t="n">
        <v>3811.1042</v>
      </c>
      <c r="J490" s="815" t="n">
        <v>3894.4375</v>
      </c>
      <c r="K490" s="818" t="n">
        <v>4239.4375</v>
      </c>
      <c r="L490" s="818" t="n">
        <v>4239.4375</v>
      </c>
      <c r="M490" s="818" t="n">
        <v>4322.7709</v>
      </c>
      <c r="N490" s="818" t="n">
        <v>4489.4376</v>
      </c>
      <c r="O490" s="818" t="n">
        <v>4489.4376</v>
      </c>
      <c r="P490" s="760" t="n">
        <v>3842.2979</v>
      </c>
      <c r="Q490" s="241">
        <f>SUM(E490:P490)</f>
        <v/>
      </c>
      <c r="R490" s="2362" t="n"/>
      <c r="S490" s="2362" t="n"/>
      <c r="T490" s="2362" t="n"/>
      <c r="Y490" s="2702" t="n"/>
      <c r="Z490" s="2702" t="n"/>
      <c r="AA490" s="2702" t="n"/>
    </row>
    <row r="491" spans="1:33">
      <c r="D491" s="2362" t="s">
        <v>364</v>
      </c>
      <c r="E491" s="1327" t="n"/>
      <c r="F491" s="815" t="n"/>
      <c r="G491" s="1380" t="n"/>
      <c r="H491" s="818" t="n"/>
      <c r="I491" s="1327" t="n">
        <v>21979.6</v>
      </c>
      <c r="J491" s="815" t="n">
        <v>21979.52</v>
      </c>
      <c r="K491" s="818" t="n">
        <v>22059.35</v>
      </c>
      <c r="L491" s="818" t="n">
        <v>21161.11</v>
      </c>
      <c r="M491" s="818" t="n">
        <v>22595.79</v>
      </c>
      <c r="N491" s="818" t="n">
        <v>21160.57</v>
      </c>
      <c r="O491" s="818" t="n">
        <v>21160.4</v>
      </c>
      <c r="P491" s="760" t="n">
        <v>21160.19</v>
      </c>
      <c r="Q491" s="241">
        <f>SUM(E491:P491)</f>
        <v/>
      </c>
      <c r="R491" s="2362" t="n"/>
      <c r="S491" s="2362" t="n"/>
      <c r="T491" s="2362" t="n"/>
      <c r="Y491" s="2702" t="n"/>
      <c r="Z491" s="2702" t="n"/>
      <c r="AA491" s="2702" t="n"/>
    </row>
    <row r="492" spans="1:33">
      <c r="R492" s="2362" t="n"/>
      <c r="S492" s="2362" t="n"/>
      <c r="T492" s="2362" t="n"/>
      <c r="Y492" s="2702" t="n"/>
      <c r="Z492" s="2702" t="n"/>
    </row>
    <row r="493" spans="1:33">
      <c r="R493" s="2362" t="n"/>
      <c r="S493" s="2362" t="n"/>
      <c r="T493" s="2362" t="n"/>
      <c r="Y493" s="2702" t="n"/>
      <c r="Z493" s="2702" t="n"/>
    </row>
    <row customHeight="1" ht="15" r="494" s="1843" spans="1:33">
      <c r="D494" s="1196" t="n"/>
      <c r="E494" s="2733" t="n"/>
      <c r="F494" s="2733" t="n"/>
      <c r="G494" s="2733" t="n"/>
      <c r="H494" s="2733" t="n"/>
      <c r="I494" s="2733" t="n"/>
      <c r="J494" s="2733" t="n"/>
      <c r="K494" s="2733" t="n"/>
      <c r="L494" s="2733" t="n"/>
      <c r="M494" s="2733" t="n"/>
      <c r="N494" s="2733" t="n"/>
      <c r="O494" s="2733" t="n"/>
      <c r="P494" s="2733" t="n"/>
      <c r="Q494" s="2731" t="n"/>
      <c r="R494" s="2362" t="n"/>
      <c r="S494" s="2362" t="n"/>
      <c r="T494" s="2362" t="n"/>
      <c r="Y494" s="2702" t="n"/>
      <c r="Z494" s="2702" t="n"/>
    </row>
    <row customHeight="1" ht="15" r="495" s="1843" spans="1:33">
      <c r="E495" s="2733" t="n"/>
      <c r="F495" s="2733" t="n"/>
      <c r="G495" s="2733" t="n"/>
      <c r="H495" s="2733" t="n"/>
      <c r="I495" s="2733" t="n"/>
      <c r="J495" s="2733" t="n"/>
      <c r="K495" s="2733" t="n"/>
      <c r="L495" s="2733" t="n"/>
      <c r="M495" s="2733" t="n"/>
      <c r="N495" s="2733" t="n"/>
      <c r="O495" s="2733" t="n"/>
      <c r="P495" s="2733" t="n"/>
      <c r="Q495" s="2731" t="n"/>
      <c r="R495" s="2362" t="n"/>
      <c r="S495" s="2362" t="n"/>
      <c r="T495" s="2362" t="n"/>
      <c r="Y495" s="2702" t="n"/>
      <c r="Z495" s="2702" t="n"/>
    </row>
    <row customHeight="1" ht="13.5" r="496" s="1843" spans="1:33">
      <c r="B496" s="2362" t="n"/>
      <c r="C496" s="2362" t="n"/>
      <c r="D496" s="2362" t="n"/>
      <c r="E496" s="2362" t="n"/>
      <c r="F496" s="2362" t="n"/>
      <c r="G496" s="2362" t="n"/>
      <c r="H496" s="2362" t="n"/>
      <c r="I496" s="2362" t="n"/>
      <c r="J496" s="2362" t="n"/>
      <c r="K496" s="2362" t="n"/>
      <c r="L496" s="2362" t="n"/>
      <c r="M496" s="2362" t="n"/>
      <c r="N496" s="2362" t="n"/>
      <c r="O496" s="2362" t="n"/>
      <c r="P496" s="2362" t="n"/>
      <c r="Q496" s="2362" t="n"/>
      <c r="R496" s="2362" t="n"/>
      <c r="S496" s="2362" t="n"/>
      <c r="T496" s="2362" t="n"/>
    </row>
    <row customFormat="1" customHeight="1" ht="13.5" r="497" s="2362" spans="1:33">
      <c r="T497" s="2362" t="n"/>
    </row>
    <row customFormat="1" customHeight="1" ht="13.5" r="498" s="2362" spans="1:33">
      <c r="T498" s="2362" t="n"/>
    </row>
    <row customFormat="1" customHeight="1" ht="13.5" r="499" s="2362" spans="1:33">
      <c r="T499" s="2362" t="n"/>
    </row>
    <row customFormat="1" customHeight="1" ht="13.5" r="500" s="2362" spans="1:33">
      <c r="T500" s="2362" t="n"/>
    </row>
    <row customFormat="1" customHeight="1" ht="13.5" r="501" s="2362" spans="1:33">
      <c r="T501" s="2362" t="n"/>
    </row>
    <row customFormat="1" customHeight="1" ht="13.5" r="502" s="2362" spans="1:33">
      <c r="T502" s="2362" t="n"/>
    </row>
    <row customFormat="1" customHeight="1" ht="13.5" r="503" s="2362" spans="1:33">
      <c r="T503" s="2362" t="n"/>
    </row>
    <row customFormat="1" customHeight="1" ht="13.5" r="504" s="2362" spans="1:33">
      <c r="T504" s="2362" t="n"/>
    </row>
    <row customFormat="1" customHeight="1" ht="13.5" r="505" s="2362" spans="1:33">
      <c r="T505" s="2362" t="n"/>
    </row>
    <row customFormat="1" customHeight="1" ht="13.5" r="506" s="2362" spans="1:33">
      <c r="T506" s="2362" t="n"/>
    </row>
    <row customFormat="1" customHeight="1" ht="13.5" r="507" s="2362" spans="1:33">
      <c r="T507" s="2362" t="n"/>
    </row>
    <row customFormat="1" customHeight="1" ht="13.5" r="508" s="2362" spans="1:33">
      <c r="T508" s="2362" t="n"/>
    </row>
    <row customFormat="1" customHeight="1" ht="13.5" r="509" s="2362" spans="1:33">
      <c r="T509" s="2362" t="n"/>
    </row>
    <row customFormat="1" customHeight="1" ht="13.5" r="510" s="2362" spans="1:33">
      <c r="T510" s="2362" t="n"/>
    </row>
    <row customFormat="1" customHeight="1" ht="13.5" r="511" s="2362" spans="1:33">
      <c r="T511" s="2362" t="n"/>
    </row>
    <row customFormat="1" customHeight="1" ht="13.5" r="512" s="2362" spans="1:33">
      <c r="T512" s="2362" t="n"/>
    </row>
    <row customFormat="1" customHeight="1" ht="13.5" r="513" s="2362" spans="1:33">
      <c r="T513" s="2362" t="n"/>
    </row>
    <row customFormat="1" customHeight="1" ht="13.5" r="514" s="2362" spans="1:33">
      <c r="T514" s="2362" t="n"/>
    </row>
    <row customFormat="1" customHeight="1" ht="13.5" r="515" s="2362" spans="1:33">
      <c r="T515" s="2362" t="n"/>
    </row>
    <row customFormat="1" customHeight="1" ht="13.5" r="516" s="2362" spans="1:33">
      <c r="T516" s="2362" t="n"/>
    </row>
    <row customFormat="1" customHeight="1" ht="13.5" r="517" s="2362" spans="1:33">
      <c r="T517" s="2362" t="n"/>
    </row>
    <row customFormat="1" customHeight="1" ht="13.5" r="518" s="2362" spans="1:33">
      <c r="T518" s="2362" t="n"/>
    </row>
    <row customFormat="1" customHeight="1" ht="13.5" r="519" s="2362" spans="1:33">
      <c r="T519" s="2362" t="n"/>
    </row>
    <row customFormat="1" customHeight="1" ht="13.5" r="520" s="2362" spans="1:33">
      <c r="T520" s="2362" t="n"/>
    </row>
    <row customFormat="1" customHeight="1" ht="13.5" r="521" s="2362" spans="1:33">
      <c r="T521" s="2362" t="n"/>
    </row>
    <row customFormat="1" customHeight="1" ht="13.5" r="522" s="2362" spans="1:33">
      <c r="T522" s="2362" t="n"/>
    </row>
    <row customFormat="1" customHeight="1" ht="13.5" r="523" s="2362" spans="1:33">
      <c r="T523" s="2362" t="n"/>
    </row>
    <row customFormat="1" customHeight="1" ht="13.5" r="524" s="2362" spans="1:33">
      <c r="T524" s="2362" t="n"/>
    </row>
    <row customFormat="1" customHeight="1" ht="13.5" r="525" s="2362" spans="1:33">
      <c r="T525" s="2362" t="n"/>
    </row>
    <row customFormat="1" customHeight="1" ht="13.5" r="526" s="2362" spans="1:33">
      <c r="T526" s="2362" t="n"/>
    </row>
    <row customFormat="1" customHeight="1" ht="13.5" r="527" s="2362" spans="1:33">
      <c r="T527" s="2362" t="n"/>
    </row>
    <row customFormat="1" customHeight="1" ht="13.5" r="528" s="2362" spans="1:33">
      <c r="T528" s="2362" t="n"/>
    </row>
    <row customFormat="1" customHeight="1" ht="13.5" r="529" s="2362" spans="1:33">
      <c r="T529" s="2362" t="n"/>
    </row>
    <row customFormat="1" customHeight="1" ht="13.5" r="530" s="2362" spans="1:33">
      <c r="T530" s="2362" t="n"/>
    </row>
    <row customFormat="1" customHeight="1" ht="13.5" r="531" s="2362" spans="1:33">
      <c r="T531" s="2362" t="n"/>
    </row>
    <row customFormat="1" customHeight="1" ht="13.5" r="532" s="2362" spans="1:33">
      <c r="T532" s="2362" t="n"/>
    </row>
    <row customFormat="1" customHeight="1" ht="13.5" r="533" s="2362" spans="1:33">
      <c r="T533" s="2362" t="n"/>
    </row>
    <row customFormat="1" customHeight="1" ht="13.5" r="534" s="2362" spans="1:33">
      <c r="T534" s="2362" t="n"/>
    </row>
    <row customFormat="1" customHeight="1" ht="13.5" r="535" s="2362" spans="1:33">
      <c r="T535" s="2362" t="n"/>
    </row>
    <row customFormat="1" customHeight="1" ht="13.5" r="536" s="2362" spans="1:33">
      <c r="T536" s="2362" t="n"/>
    </row>
    <row customFormat="1" customHeight="1" ht="13.5" r="537" s="2362" spans="1:33">
      <c r="T537" s="2362" t="n"/>
    </row>
    <row customFormat="1" customHeight="1" ht="13.5" r="538" s="2362" spans="1:33">
      <c r="T538" s="2362" t="n"/>
    </row>
    <row customFormat="1" customHeight="1" ht="13.5" r="539" s="2362" spans="1:33">
      <c r="T539" s="2362" t="n"/>
    </row>
    <row customFormat="1" customHeight="1" ht="13.5" r="540" s="2362" spans="1:33">
      <c r="T540" s="2362" t="n"/>
    </row>
    <row customFormat="1" customHeight="1" ht="13.5" r="541" s="2362" spans="1:33">
      <c r="T541" s="2362" t="n"/>
    </row>
    <row customFormat="1" customHeight="1" ht="13.5" r="542" s="2362" spans="1:33">
      <c r="T542" s="2362" t="n"/>
    </row>
    <row customFormat="1" customHeight="1" ht="13.5" r="543" s="2362" spans="1:33">
      <c r="T543" s="2362" t="n"/>
    </row>
    <row customFormat="1" customHeight="1" ht="13.5" r="544" s="2362" spans="1:33">
      <c r="T544" s="2362" t="n"/>
    </row>
    <row customFormat="1" customHeight="1" ht="13.5" r="545" s="2362" spans="1:33">
      <c r="T545" s="2362" t="n"/>
    </row>
    <row customFormat="1" customHeight="1" ht="13.5" r="546" s="2362" spans="1:33">
      <c r="T546" s="2362" t="n"/>
    </row>
    <row customFormat="1" customHeight="1" ht="13.5" r="547" s="2362" spans="1:33">
      <c r="T547" s="2362" t="n"/>
    </row>
    <row customFormat="1" customHeight="1" ht="13.5" r="548" s="2362" spans="1:33">
      <c r="T548" s="2362" t="n"/>
    </row>
    <row customFormat="1" customHeight="1" ht="13.5" r="549" s="2362" spans="1:33">
      <c r="T549" s="2362" t="n"/>
    </row>
    <row customFormat="1" customHeight="1" ht="13.5" r="550" s="2362" spans="1:33">
      <c r="T550" s="2362" t="n"/>
    </row>
    <row customFormat="1" customHeight="1" ht="13.5" r="551" s="2362" spans="1:33">
      <c r="T551" s="2362" t="n"/>
    </row>
    <row customFormat="1" customHeight="1" ht="13.5" r="552" s="2362" spans="1:33">
      <c r="T552" s="2362" t="n"/>
    </row>
    <row customFormat="1" customHeight="1" ht="13.5" r="553" s="2362" spans="1:33">
      <c r="T553" s="2362" t="n"/>
    </row>
    <row customFormat="1" customHeight="1" ht="13.5" r="554" s="2362" spans="1:33">
      <c r="T554" s="2362" t="n"/>
    </row>
    <row customFormat="1" customHeight="1" ht="13.5" r="555" s="2362" spans="1:33">
      <c r="T555" s="2362" t="n"/>
    </row>
    <row customFormat="1" customHeight="1" ht="13.5" r="556" s="2362" spans="1:33">
      <c r="T556" s="2362" t="n"/>
    </row>
    <row customFormat="1" customHeight="1" ht="13.5" r="557" s="2362" spans="1:33">
      <c r="T557" s="2362" t="n"/>
    </row>
    <row customFormat="1" customHeight="1" ht="13.5" r="558" s="2362" spans="1:33">
      <c r="T558" s="2362" t="n"/>
    </row>
    <row customFormat="1" customHeight="1" ht="13.5" r="559" s="2362" spans="1:33">
      <c r="T559" s="2362" t="n"/>
    </row>
    <row customFormat="1" customHeight="1" ht="13.5" r="560" s="2362" spans="1:33">
      <c r="T560" s="2362" t="n"/>
    </row>
    <row customFormat="1" customHeight="1" ht="13.5" r="561" s="2362" spans="1:33">
      <c r="T561" s="2362" t="n"/>
    </row>
    <row customFormat="1" customHeight="1" ht="13.5" r="562" s="2362" spans="1:33">
      <c r="T562" s="2362" t="n"/>
    </row>
    <row customFormat="1" customHeight="1" ht="13.5" r="563" s="2362" spans="1:33">
      <c r="T563" s="2362" t="n"/>
    </row>
    <row customFormat="1" customHeight="1" ht="13.5" r="564" s="2362" spans="1:33">
      <c r="T564" s="2362" t="n"/>
    </row>
    <row customFormat="1" customHeight="1" ht="13.5" r="565" s="2362" spans="1:33">
      <c r="T565" s="2362" t="n"/>
    </row>
    <row customFormat="1" customHeight="1" ht="13.5" r="566" s="2362" spans="1:33">
      <c r="T566" s="2362" t="n"/>
    </row>
    <row customFormat="1" customHeight="1" ht="13.5" r="567" s="2362" spans="1:33">
      <c r="T567" s="2362" t="n"/>
    </row>
  </sheetData>
  <autoFilter ref="A3:U336"/>
  <mergeCells count="29">
    <mergeCell ref="A341:A347"/>
    <mergeCell ref="A350:A354"/>
    <mergeCell ref="B350:B354"/>
    <mergeCell ref="B236:D236"/>
    <mergeCell ref="B101:D101"/>
    <mergeCell ref="B134:D134"/>
    <mergeCell ref="B135:D135"/>
    <mergeCell ref="E363:P363"/>
    <mergeCell ref="B100:D100"/>
    <mergeCell ref="B32:D32"/>
    <mergeCell ref="B33:D33"/>
    <mergeCell ref="B66:D66"/>
    <mergeCell ref="B67:D67"/>
    <mergeCell ref="B371:B377"/>
    <mergeCell ref="E2:G2"/>
    <mergeCell ref="H2:P2"/>
    <mergeCell ref="E405:I405"/>
    <mergeCell ref="E357:P357"/>
    <mergeCell ref="B168:D168"/>
    <mergeCell ref="B169:D169"/>
    <mergeCell ref="B202:D202"/>
    <mergeCell ref="B203:D203"/>
    <mergeCell ref="B304:D304"/>
    <mergeCell ref="B305:D305"/>
    <mergeCell ref="B335:D335"/>
    <mergeCell ref="B336:D336"/>
    <mergeCell ref="B270:D270"/>
    <mergeCell ref="B271:D271"/>
    <mergeCell ref="B237:D237"/>
  </mergeCells>
  <pageMargins bottom="0.75" footer="0.3" header="0.3" left="0.7" right="0.7" top="0.75"/>
  <pageSetup orientation="portrait" paperSize="9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tabColor indexed="29"/>
    <outlinePr summaryBelow="0"/>
    <pageSetUpPr/>
  </sheetPr>
  <dimension ref="A1:BC457"/>
  <sheetViews>
    <sheetView workbookViewId="0" zoomScale="85" zoomScaleNormal="85">
      <pane activePane="bottomRight" state="frozen" topLeftCell="C2" xSplit="2" ySplit="1"/>
      <selection activeCell="C1" pane="topRight" sqref="C1"/>
      <selection activeCell="A2" pane="bottomLeft" sqref="A2"/>
      <selection activeCell="A1" pane="bottomRight" sqref="A1"/>
    </sheetView>
  </sheetViews>
  <sheetFormatPr baseColWidth="8" defaultColWidth="9" defaultRowHeight="16.5" outlineLevelCol="0" outlineLevelRow="2"/>
  <cols>
    <col customWidth="1" max="1" min="1" style="2216" width="27.5"/>
    <col customWidth="1" max="2" min="2" style="2216" width="1.125"/>
    <col customWidth="1" max="4" min="3" style="2216" width="9.375"/>
    <col customWidth="1" max="5" min="5" style="2216" width="10.375"/>
    <col customWidth="1" max="6" min="6" style="2216" width="0.625"/>
    <col customWidth="1" max="7" min="7" style="2216" width="8.375"/>
    <col customWidth="1" max="8" min="8" style="2216" width="10.125"/>
    <col customWidth="1" max="9" min="9" style="2216" width="8.75"/>
    <col customWidth="1" max="10" min="10" style="2216" width="0.625"/>
    <col customWidth="1" max="11" min="11" style="2216" width="8.375"/>
    <col customWidth="1" max="12" min="12" style="2216" width="8.625"/>
    <col customWidth="1" max="13" min="13" style="2216" width="8.375"/>
    <col customWidth="1" max="14" min="14" style="1843" width="0.625"/>
    <col customWidth="1" max="15" min="15" style="2216" width="8.375"/>
    <col customWidth="1" max="16" min="16" style="2216" width="8.625"/>
    <col customWidth="1" max="17" min="17" style="2216" width="8.375"/>
    <col customWidth="1" max="18" min="18" style="2216" width="0.5"/>
    <col customWidth="1" max="19" min="19" style="2216" width="9"/>
    <col customWidth="1" max="20" min="20" style="2216" width="8.625"/>
    <col customWidth="1" max="21" min="21" style="2216" width="7.625"/>
    <col customWidth="1" max="22" min="22" style="1843" width="0.875"/>
    <col customWidth="1" max="24" min="23" style="2216" width="8.625"/>
    <col customWidth="1" max="25" min="25" style="2216" width="7.625"/>
    <col customWidth="1" max="26" min="26" style="1843" width="0.625"/>
    <col customWidth="1" max="28" min="27" style="2216" width="8.625"/>
    <col customWidth="1" max="29" min="29" style="2216" width="8.375"/>
    <col customWidth="1" max="30" min="30" style="1843" width="0.625"/>
    <col customWidth="1" max="31" min="31" style="2216" width="8.375"/>
    <col customWidth="1" max="33" min="32" style="2216" width="8.625"/>
    <col customWidth="1" max="34" min="34" style="1843" width="0.875"/>
    <col customWidth="1" max="35" min="35" style="2216" width="8.375"/>
    <col customWidth="1" max="37" min="36" style="2216" width="8.625"/>
    <col customWidth="1" max="38" min="38" style="2216" width="0.875"/>
    <col customWidth="1" max="39" min="39" style="2216" width="8.375"/>
    <col customWidth="1" max="40" min="40" style="2216" width="8.875"/>
    <col customWidth="1" max="41" min="41" style="2216" width="8.625"/>
    <col customWidth="1" max="42" min="42" style="2777" width="0.5"/>
    <col customWidth="1" max="43" min="43" style="2216" width="8.375"/>
    <col customWidth="1" max="45" min="44" style="2216" width="8.625"/>
    <col customWidth="1" max="46" min="46" style="2216" width="1.125"/>
    <col bestFit="1" customWidth="1" max="47" min="47" style="2216" width="8.375"/>
    <col bestFit="1" customWidth="1" max="48" min="48" style="2216" width="8"/>
    <col bestFit="1" customWidth="1" max="49" min="49" style="2216" width="8.625"/>
    <col customWidth="1" max="50" min="50" style="2216" width="1.125"/>
    <col bestFit="1" customWidth="1" max="51" min="51" style="2216" width="10"/>
    <col bestFit="1" customWidth="1" max="52" min="52" style="2216" width="9.875"/>
    <col bestFit="1" customWidth="1" max="53" min="53" style="2216" width="9.625"/>
    <col bestFit="1" customWidth="1" max="54" min="54" style="2216" width="12.625"/>
    <col customWidth="1" max="16384" min="55" style="2216" width="9"/>
  </cols>
  <sheetData>
    <row r="1" spans="1:55">
      <c r="A1" s="2778" t="s">
        <v>365</v>
      </c>
      <c r="B1" s="2779" t="n"/>
      <c r="C1" s="2780" t="s">
        <v>62</v>
      </c>
      <c r="F1" s="2781" t="n"/>
      <c r="G1" s="2780" t="s">
        <v>63</v>
      </c>
      <c r="J1" s="2781" t="n"/>
      <c r="K1" s="2780" t="s">
        <v>64</v>
      </c>
      <c r="O1" s="2780" t="s">
        <v>174</v>
      </c>
      <c r="R1" s="2781" t="n"/>
      <c r="S1" s="2780" t="s">
        <v>66</v>
      </c>
      <c r="W1" s="2780" t="s">
        <v>67</v>
      </c>
      <c r="AA1" s="2780" t="s">
        <v>69</v>
      </c>
      <c r="AE1" s="2780" t="s">
        <v>70</v>
      </c>
      <c r="AI1" s="2780" t="s">
        <v>71</v>
      </c>
      <c r="AL1" s="2779" t="n"/>
      <c r="AM1" s="2780" t="s">
        <v>72</v>
      </c>
      <c r="AP1" s="2782" t="n"/>
      <c r="AQ1" s="2780" t="s">
        <v>73</v>
      </c>
      <c r="AT1" s="2779" t="n"/>
      <c r="AU1" s="2780" t="s">
        <v>74</v>
      </c>
      <c r="AX1" s="2779" t="n"/>
      <c r="AY1" s="2780" t="s">
        <v>173</v>
      </c>
    </row>
    <row r="2" spans="1:55">
      <c r="A2" s="2783" t="n"/>
      <c r="B2" s="2784" t="n"/>
      <c r="C2" s="2783" t="s">
        <v>89</v>
      </c>
      <c r="D2" s="2783" t="s">
        <v>152</v>
      </c>
      <c r="E2" s="2783" t="s">
        <v>153</v>
      </c>
      <c r="F2" s="2785" t="n"/>
      <c r="G2" s="2783" t="s">
        <v>89</v>
      </c>
      <c r="H2" s="2783" t="s">
        <v>152</v>
      </c>
      <c r="I2" s="2783" t="s">
        <v>153</v>
      </c>
      <c r="J2" s="2785" t="n"/>
      <c r="K2" s="2783" t="s">
        <v>89</v>
      </c>
      <c r="L2" s="2783" t="s">
        <v>152</v>
      </c>
      <c r="M2" s="2783" t="s">
        <v>153</v>
      </c>
      <c r="O2" s="2783" t="s">
        <v>89</v>
      </c>
      <c r="P2" s="2783" t="s">
        <v>152</v>
      </c>
      <c r="Q2" s="2783" t="s">
        <v>153</v>
      </c>
      <c r="R2" s="2785" t="n"/>
      <c r="S2" s="2783" t="s">
        <v>89</v>
      </c>
      <c r="T2" s="2783" t="s">
        <v>152</v>
      </c>
      <c r="U2" s="2783" t="s">
        <v>153</v>
      </c>
      <c r="W2" s="2783" t="s">
        <v>89</v>
      </c>
      <c r="X2" s="2783" t="s">
        <v>152</v>
      </c>
      <c r="Y2" s="2783" t="s">
        <v>153</v>
      </c>
      <c r="AA2" s="2783" t="s">
        <v>89</v>
      </c>
      <c r="AB2" s="2783" t="s">
        <v>152</v>
      </c>
      <c r="AC2" s="2783" t="s">
        <v>153</v>
      </c>
      <c r="AE2" s="2783" t="s">
        <v>89</v>
      </c>
      <c r="AF2" s="2783" t="s">
        <v>152</v>
      </c>
      <c r="AG2" s="2783" t="s">
        <v>153</v>
      </c>
      <c r="AI2" s="2783" t="s">
        <v>89</v>
      </c>
      <c r="AJ2" s="2783" t="s">
        <v>152</v>
      </c>
      <c r="AK2" s="2783" t="s">
        <v>153</v>
      </c>
      <c r="AL2" s="2784" t="n"/>
      <c r="AM2" s="2783" t="s">
        <v>89</v>
      </c>
      <c r="AN2" s="2783" t="s">
        <v>152</v>
      </c>
      <c r="AO2" s="2783" t="s">
        <v>153</v>
      </c>
      <c r="AP2" s="2786" t="n"/>
      <c r="AQ2" s="2783" t="s">
        <v>89</v>
      </c>
      <c r="AR2" s="2783" t="s">
        <v>152</v>
      </c>
      <c r="AS2" s="2783" t="s">
        <v>153</v>
      </c>
      <c r="AT2" s="2784" t="n"/>
      <c r="AU2" s="2783" t="s">
        <v>89</v>
      </c>
      <c r="AV2" s="2783" t="s">
        <v>152</v>
      </c>
      <c r="AW2" s="2783" t="s">
        <v>153</v>
      </c>
      <c r="AX2" s="2784" t="n"/>
      <c r="AY2" s="2783" t="s">
        <v>89</v>
      </c>
      <c r="AZ2" s="2783" t="s">
        <v>152</v>
      </c>
      <c r="BA2" s="2783" t="s">
        <v>153</v>
      </c>
    </row>
    <row r="3" spans="1:55">
      <c r="A3" s="2787" t="s">
        <v>187</v>
      </c>
      <c r="B3" s="2788" t="n"/>
      <c r="C3" s="2787" t="n"/>
      <c r="D3" s="2787">
        <f>SUM(D27,D123,D268,D340,D365,D437)</f>
        <v/>
      </c>
      <c r="E3" s="2787" t="n"/>
      <c r="F3" s="2789" t="n"/>
      <c r="G3" s="2787" t="n"/>
      <c r="H3" s="2787">
        <f>SUM(H27,H123,H268,H340,H365,H437)</f>
        <v/>
      </c>
      <c r="I3" s="2787" t="n"/>
      <c r="J3" s="2789" t="n"/>
      <c r="K3" s="2787" t="n"/>
      <c r="L3" s="2787">
        <f>SUM(L27,L123,L268,L340,L365,L437)</f>
        <v/>
      </c>
      <c r="M3" s="2787" t="n"/>
      <c r="O3" s="2787" t="n"/>
      <c r="P3" s="2787">
        <f>SUM(P27,P123,P268,P340,P365,P437)</f>
        <v/>
      </c>
      <c r="Q3" s="2787" t="n"/>
      <c r="R3" s="2789" t="n"/>
      <c r="S3" s="2787" t="n"/>
      <c r="T3" s="2787">
        <f>SUM(T27,T123,T268,T340,T365,T437)</f>
        <v/>
      </c>
      <c r="U3" s="2787" t="n"/>
      <c r="W3" s="2787" t="n"/>
      <c r="X3" s="2787">
        <f>SUM(X27,X123,X268,X340,X365,X437)</f>
        <v/>
      </c>
      <c r="Y3" s="2787" t="n"/>
      <c r="AA3" s="2787" t="n"/>
      <c r="AB3" s="2787">
        <f>SUM(AB27,AB123,AB268,AB340,AB365,AB437)</f>
        <v/>
      </c>
      <c r="AC3" s="2787" t="n"/>
      <c r="AE3" s="2787" t="n"/>
      <c r="AF3" s="2787">
        <f>SUM(AF27,AF123,AF268,AF340,AF365,AF437)</f>
        <v/>
      </c>
      <c r="AG3" s="2787" t="n"/>
      <c r="AI3" s="2787" t="n"/>
      <c r="AJ3" s="2787">
        <f>SUM(AJ27,AJ123,AJ268,AJ340,AJ365,AJ437)</f>
        <v/>
      </c>
      <c r="AK3" s="2787" t="n"/>
      <c r="AL3" s="2788" t="n"/>
      <c r="AM3" s="2787" t="n"/>
      <c r="AN3" s="2787">
        <f>SUM(AN27,AN123,AN268,AN340,AN365,AN437)</f>
        <v/>
      </c>
      <c r="AO3" s="2787" t="n"/>
      <c r="AP3" s="2790" t="n"/>
      <c r="AQ3" s="2787" t="n"/>
      <c r="AR3" s="2787">
        <f>SUM(AR27,AR123,AR268,AR340,AR365,AR437)</f>
        <v/>
      </c>
      <c r="AS3" s="2787" t="n"/>
      <c r="AT3" s="2788" t="n"/>
      <c r="AU3" s="2787" t="n"/>
      <c r="AV3" s="2787">
        <f>SUM(AV27,AV123,AV268,AV340,AV365,AV437)</f>
        <v/>
      </c>
      <c r="AW3" s="2787" t="n"/>
      <c r="AX3" s="2788" t="n"/>
      <c r="AY3" s="2787" t="n"/>
      <c r="AZ3" s="2787">
        <f>SUM(C3:AW3)</f>
        <v/>
      </c>
      <c r="BA3" s="2787" t="n"/>
    </row>
    <row r="4" spans="1:55">
      <c r="A4" s="2787" t="s">
        <v>189</v>
      </c>
      <c r="B4" s="2788" t="n"/>
      <c r="C4" s="2791" t="n"/>
      <c r="D4" s="2787">
        <f>SUM(D28,D124,D269,D341,D366,D438)</f>
        <v/>
      </c>
      <c r="E4" s="2787" t="n"/>
      <c r="F4" s="2789" t="n"/>
      <c r="G4" s="2791" t="n"/>
      <c r="H4" s="2787">
        <f>SUM(H28,H124,H269,H341,H366,H438)</f>
        <v/>
      </c>
      <c r="I4" s="2791" t="n"/>
      <c r="J4" s="2789" t="n"/>
      <c r="K4" s="2791" t="n"/>
      <c r="L4" s="2787">
        <f>SUM(L28,L124,L269,L341,L366,L438)</f>
        <v/>
      </c>
      <c r="M4" s="2787" t="n"/>
      <c r="O4" s="2791" t="n"/>
      <c r="P4" s="2787">
        <f>SUM(P28,P124,P269,P341,P366,P438)</f>
        <v/>
      </c>
      <c r="Q4" s="2791" t="n"/>
      <c r="R4" s="2789" t="n"/>
      <c r="S4" s="2791" t="n"/>
      <c r="T4" s="2787">
        <f>SUM(T28,T124,T269,T341,T366,T438)</f>
        <v/>
      </c>
      <c r="U4" s="2791" t="n"/>
      <c r="W4" s="2791" t="n"/>
      <c r="X4" s="2787">
        <f>SUM(X28,X124,X269,X341,X366,X438)</f>
        <v/>
      </c>
      <c r="Y4" s="2791" t="n"/>
      <c r="AA4" s="2791" t="n"/>
      <c r="AB4" s="2787">
        <f>SUM(AB28,AB124,AB269,AB341,AB366,AB438)</f>
        <v/>
      </c>
      <c r="AC4" s="2791" t="n"/>
      <c r="AE4" s="2791" t="n"/>
      <c r="AF4" s="2787">
        <f>SUM(AF28,AF124,AF269,AF341,AF366,AF438)</f>
        <v/>
      </c>
      <c r="AG4" s="2791" t="n"/>
      <c r="AI4" s="2791" t="n"/>
      <c r="AJ4" s="2787">
        <f>SUM(AJ28,AJ124,AJ269,AJ341,AJ366,AJ438)</f>
        <v/>
      </c>
      <c r="AK4" s="2791" t="n"/>
      <c r="AL4" s="2788" t="n"/>
      <c r="AM4" s="2791" t="n"/>
      <c r="AN4" s="2787">
        <f>SUM(AN28,AN124,AN269,AN341,AN366,AN438)</f>
        <v/>
      </c>
      <c r="AO4" s="2791" t="n"/>
      <c r="AP4" s="2790" t="n"/>
      <c r="AQ4" s="2791" t="n"/>
      <c r="AR4" s="2787">
        <f>SUM(AR28,AR124,AR269,AR341,AR366,AR438)</f>
        <v/>
      </c>
      <c r="AS4" s="2791" t="n"/>
      <c r="AT4" s="2788" t="n"/>
      <c r="AU4" s="2791" t="n"/>
      <c r="AV4" s="2787">
        <f>SUM(AV28,AV124,AV269,AV341,AV366,AV438)</f>
        <v/>
      </c>
      <c r="AW4" s="2791" t="n"/>
      <c r="AX4" s="2788" t="n"/>
      <c r="AY4" s="2791" t="n"/>
      <c r="AZ4" s="2787">
        <f>SUM(C4:AW4)</f>
        <v/>
      </c>
      <c r="BA4" s="2791" t="n"/>
    </row>
    <row r="5" spans="1:55">
      <c r="A5" s="2787" t="s">
        <v>252</v>
      </c>
      <c r="B5" s="2788" t="n"/>
      <c r="C5" s="2791" t="n"/>
      <c r="D5" s="2787">
        <f>SUM(D29,D125,D270,D342,D367,D439)</f>
        <v/>
      </c>
      <c r="E5" s="2787" t="n"/>
      <c r="F5" s="2789" t="n"/>
      <c r="G5" s="2791" t="n"/>
      <c r="H5" s="2787">
        <f>SUM(H29,H125,H270,H342,H367,H439)</f>
        <v/>
      </c>
      <c r="I5" s="2791" t="n"/>
      <c r="J5" s="2789" t="n"/>
      <c r="K5" s="2791" t="n"/>
      <c r="L5" s="2787">
        <f>SUM(L29,L125,L270,L342,L367,L439)</f>
        <v/>
      </c>
      <c r="M5" s="2787" t="n"/>
      <c r="O5" s="2791" t="n"/>
      <c r="P5" s="2787">
        <f>SUM(P29,P125,P270,P342,P367,P439)</f>
        <v/>
      </c>
      <c r="Q5" s="2791" t="n"/>
      <c r="R5" s="2789" t="n"/>
      <c r="S5" s="2791" t="n"/>
      <c r="T5" s="2787">
        <f>SUM(T29,T125,T270,T342,T367,T439)</f>
        <v/>
      </c>
      <c r="U5" s="2791" t="n"/>
      <c r="W5" s="2791" t="n"/>
      <c r="X5" s="2787">
        <f>SUM(X29,X125,X270,X342,X367,X439)</f>
        <v/>
      </c>
      <c r="Y5" s="2791" t="n"/>
      <c r="AA5" s="2791" t="n"/>
      <c r="AB5" s="2787">
        <f>SUM(AB29,AB125,AB270,AB342,AB367,AB439)</f>
        <v/>
      </c>
      <c r="AC5" s="2791" t="n"/>
      <c r="AE5" s="2791" t="n"/>
      <c r="AF5" s="2787">
        <f>SUM(AF29,AF125,AF270,AF342,AF367,AF439)</f>
        <v/>
      </c>
      <c r="AG5" s="2791" t="n"/>
      <c r="AI5" s="2791" t="n"/>
      <c r="AJ5" s="2787">
        <f>SUM(AJ29,AJ125,AJ270,AJ342,AJ367,AJ439)</f>
        <v/>
      </c>
      <c r="AK5" s="2791" t="n"/>
      <c r="AL5" s="2788" t="n"/>
      <c r="AM5" s="2791" t="n"/>
      <c r="AN5" s="2787">
        <f>SUM(AN29,AN125,AN270,AN342,AN367,AN439)</f>
        <v/>
      </c>
      <c r="AO5" s="2791" t="n"/>
      <c r="AP5" s="2790" t="n"/>
      <c r="AQ5" s="2791" t="n"/>
      <c r="AR5" s="2787">
        <f>SUM(AR29,AR125,AR270,AR342,AR367,AR439)</f>
        <v/>
      </c>
      <c r="AS5" s="2791" t="n"/>
      <c r="AT5" s="2788" t="n"/>
      <c r="AU5" s="2791" t="n"/>
      <c r="AV5" s="2787">
        <f>SUM(AV29,AV125,AV270,AV342,AV367,AV439)</f>
        <v/>
      </c>
      <c r="AW5" s="2791" t="n"/>
      <c r="AX5" s="2788" t="n"/>
      <c r="AY5" s="2791" t="n"/>
      <c r="AZ5" s="2787">
        <f>SUM(C5:AW5)</f>
        <v/>
      </c>
      <c r="BA5" s="2791" t="n"/>
    </row>
    <row r="6" spans="1:55">
      <c r="A6" s="2787" t="s">
        <v>191</v>
      </c>
      <c r="B6" s="2788" t="n"/>
      <c r="C6" s="2791" t="n"/>
      <c r="D6" s="2787">
        <f>SUM(D30,D126,D271,D343,D368,D440)</f>
        <v/>
      </c>
      <c r="E6" s="2787" t="n"/>
      <c r="F6" s="2789" t="n"/>
      <c r="G6" s="2791" t="n"/>
      <c r="H6" s="2787">
        <f>SUM(H30,H126,H271,H343,H368,H440)</f>
        <v/>
      </c>
      <c r="I6" s="2791" t="n"/>
      <c r="J6" s="2789" t="n"/>
      <c r="K6" s="2791" t="n"/>
      <c r="L6" s="2787">
        <f>SUM(L30,L126,L271,L343,L368,L440)</f>
        <v/>
      </c>
      <c r="M6" s="2787" t="n"/>
      <c r="O6" s="2791" t="n"/>
      <c r="P6" s="2787">
        <f>SUM(P30,P126,P271,P343,P368,P440)</f>
        <v/>
      </c>
      <c r="Q6" s="2791" t="n"/>
      <c r="R6" s="2789" t="n"/>
      <c r="S6" s="2791" t="n"/>
      <c r="T6" s="2787">
        <f>SUM(T30,T126,T271,T343,T368,T440)</f>
        <v/>
      </c>
      <c r="U6" s="2791" t="n"/>
      <c r="W6" s="2791" t="n"/>
      <c r="X6" s="2787">
        <f>SUM(X30,X126,X271,X343,X368,X440)</f>
        <v/>
      </c>
      <c r="Y6" s="2791" t="n"/>
      <c r="AA6" s="2791" t="n"/>
      <c r="AB6" s="2787">
        <f>SUM(AB30,AB126,AB271,AB343,AB368,AB440)</f>
        <v/>
      </c>
      <c r="AC6" s="2791" t="n"/>
      <c r="AE6" s="2791" t="n"/>
      <c r="AF6" s="2787">
        <f>SUM(AF30,AF126,AF271,AF343,AF368,AF440)</f>
        <v/>
      </c>
      <c r="AG6" s="2791" t="n"/>
      <c r="AI6" s="2791" t="n"/>
      <c r="AJ6" s="2787">
        <f>SUM(AJ30,AJ126,AJ271,AJ343,AJ368,AJ440)</f>
        <v/>
      </c>
      <c r="AK6" s="2791" t="n"/>
      <c r="AL6" s="2788" t="n"/>
      <c r="AM6" s="2791" t="n"/>
      <c r="AN6" s="2787">
        <f>SUM(AN30,AN126,AN271,AN343,AN368,AN440)</f>
        <v/>
      </c>
      <c r="AO6" s="2791" t="n"/>
      <c r="AP6" s="2790" t="n"/>
      <c r="AQ6" s="2791" t="n"/>
      <c r="AR6" s="2787">
        <f>SUM(AR30,AR126,AR271,AR343,AR368,AR440)</f>
        <v/>
      </c>
      <c r="AS6" s="2791" t="n"/>
      <c r="AT6" s="2788" t="n"/>
      <c r="AU6" s="2791" t="n"/>
      <c r="AV6" s="2787">
        <f>SUM(AV30,AV126,AV271,AV343,AV368,AV440)</f>
        <v/>
      </c>
      <c r="AW6" s="2791" t="n"/>
      <c r="AX6" s="2788" t="n"/>
      <c r="AY6" s="2791" t="n"/>
      <c r="AZ6" s="2787">
        <f>SUM(C6:AW6)</f>
        <v/>
      </c>
      <c r="BA6" s="2791" t="n"/>
    </row>
    <row r="7" spans="1:55">
      <c r="A7" s="2787" t="s">
        <v>192</v>
      </c>
      <c r="B7" s="2788" t="n"/>
      <c r="C7" s="2791" t="n"/>
      <c r="D7" s="2787">
        <f>SUM(D31,D127,D272,D344,D369,D441)</f>
        <v/>
      </c>
      <c r="E7" s="2787" t="n"/>
      <c r="F7" s="2789" t="n"/>
      <c r="G7" s="2791" t="n"/>
      <c r="H7" s="2787">
        <f>SUM(H31,H127,H272,H344,H369,H441)</f>
        <v/>
      </c>
      <c r="I7" s="2791" t="n"/>
      <c r="J7" s="2789" t="n"/>
      <c r="K7" s="2791" t="n"/>
      <c r="L7" s="2787">
        <f>SUM(L31,L127,L272,L344,L369,L441)</f>
        <v/>
      </c>
      <c r="M7" s="2787" t="n"/>
      <c r="O7" s="2791" t="n"/>
      <c r="P7" s="2787">
        <f>SUM(P31,P127,P272,P344,P369,P441)</f>
        <v/>
      </c>
      <c r="Q7" s="2791" t="n"/>
      <c r="R7" s="2789" t="n"/>
      <c r="S7" s="2791" t="n"/>
      <c r="T7" s="2787">
        <f>SUM(T31,T127,T272,T344,T369,T441)</f>
        <v/>
      </c>
      <c r="U7" s="2791" t="n"/>
      <c r="W7" s="2791" t="n"/>
      <c r="X7" s="2787">
        <f>SUM(X31,X127,X272,X344,X369,X441)</f>
        <v/>
      </c>
      <c r="Y7" s="2791" t="n"/>
      <c r="AA7" s="2791" t="n"/>
      <c r="AB7" s="2787">
        <f>SUM(AB31,AB127,AB272,AB344,AB369,AB441)</f>
        <v/>
      </c>
      <c r="AC7" s="2791" t="n"/>
      <c r="AE7" s="2791" t="n"/>
      <c r="AF7" s="2787">
        <f>SUM(AF31,AF127,AF272,AF344,AF369,AF441)</f>
        <v/>
      </c>
      <c r="AG7" s="2791" t="n"/>
      <c r="AI7" s="2791" t="n"/>
      <c r="AJ7" s="2787">
        <f>SUM(AJ31,AJ127,AJ272,AJ344,AJ369,AJ441)</f>
        <v/>
      </c>
      <c r="AK7" s="2791" t="n"/>
      <c r="AL7" s="2788" t="n"/>
      <c r="AM7" s="2791" t="n"/>
      <c r="AN7" s="2787">
        <f>SUM(AN31,AN127,AN272,AN344,AN369,AN441)</f>
        <v/>
      </c>
      <c r="AO7" s="2791" t="n"/>
      <c r="AP7" s="2790" t="n"/>
      <c r="AQ7" s="2791" t="n"/>
      <c r="AR7" s="2787">
        <f>SUM(AR31,AR127,AR272,AR344,AR369,AR441)</f>
        <v/>
      </c>
      <c r="AS7" s="2791" t="n"/>
      <c r="AT7" s="2788" t="n"/>
      <c r="AU7" s="2791" t="n"/>
      <c r="AV7" s="2787">
        <f>SUM(AV31,AV127,AV272,AV344,AV369,AV441)</f>
        <v/>
      </c>
      <c r="AW7" s="2791" t="n"/>
      <c r="AX7" s="2788" t="n"/>
      <c r="AY7" s="2791" t="n"/>
      <c r="AZ7" s="2787">
        <f>SUM(C7:AW7)</f>
        <v/>
      </c>
      <c r="BA7" s="2791" t="n"/>
    </row>
    <row r="8" spans="1:55">
      <c r="A8" s="2792" t="s">
        <v>194</v>
      </c>
      <c r="B8" s="2793" t="n"/>
      <c r="C8" s="2794" t="n"/>
      <c r="D8" s="2794">
        <f>SUM(D32,D128,D273,D345,D370,D442)</f>
        <v/>
      </c>
      <c r="E8" s="2792" t="n"/>
      <c r="F8" s="2793" t="n"/>
      <c r="G8" s="2794" t="n"/>
      <c r="H8" s="2794">
        <f>SUM(H32,H128,H273,H345,H370,H442)</f>
        <v/>
      </c>
      <c r="I8" s="2794" t="n"/>
      <c r="J8" s="2793" t="n"/>
      <c r="K8" s="2794" t="n"/>
      <c r="L8" s="2794">
        <f>SUM(L32,L128,L273,L345,L370,L442)</f>
        <v/>
      </c>
      <c r="M8" s="2792" t="n"/>
      <c r="N8" s="2795" t="n"/>
      <c r="O8" s="2794" t="n"/>
      <c r="P8" s="2794">
        <f>SUM(P32,P128,P273,P345,P370,P442)</f>
        <v/>
      </c>
      <c r="Q8" s="2794" t="n"/>
      <c r="R8" s="2793" t="n"/>
      <c r="S8" s="2794" t="n"/>
      <c r="T8" s="2794">
        <f>SUM(T32,T128,T273,T345,T370,T442)</f>
        <v/>
      </c>
      <c r="U8" s="2794" t="n"/>
      <c r="V8" s="2795" t="n"/>
      <c r="W8" s="2794" t="n"/>
      <c r="X8" s="2794">
        <f>SUM(X32,X128,X273,X345,X370,X442)</f>
        <v/>
      </c>
      <c r="Y8" s="2794" t="n"/>
      <c r="Z8" s="2795" t="n"/>
      <c r="AA8" s="2794" t="n"/>
      <c r="AB8" s="2794">
        <f>SUM(AB32,AB128,AB273,AB345,AB370,AB442)</f>
        <v/>
      </c>
      <c r="AC8" s="2794" t="n"/>
      <c r="AD8" s="2795" t="n"/>
      <c r="AE8" s="2794" t="n"/>
      <c r="AF8" s="2794">
        <f>SUM(AF32,AF128,AF273,AF345,AF370,AF442)</f>
        <v/>
      </c>
      <c r="AG8" s="2794" t="n"/>
      <c r="AH8" s="2795" t="n"/>
      <c r="AI8" s="2794" t="n"/>
      <c r="AJ8" s="2794">
        <f>SUM(AJ32,AJ128,AJ273,AJ345,AJ370,AJ442)</f>
        <v/>
      </c>
      <c r="AK8" s="2794" t="n"/>
      <c r="AL8" s="2793" t="n"/>
      <c r="AM8" s="2794" t="n"/>
      <c r="AN8" s="2794">
        <f>SUM(AN32,AN128,AN273,AN345,AN370,AN442)</f>
        <v/>
      </c>
      <c r="AO8" s="2794" t="n"/>
      <c r="AP8" s="2793" t="n"/>
      <c r="AQ8" s="2794" t="n"/>
      <c r="AR8" s="2794">
        <f>SUM(AR32,AR128,AR273,AR345,AR370,AR442)</f>
        <v/>
      </c>
      <c r="AS8" s="2794" t="n"/>
      <c r="AT8" s="2793" t="n"/>
      <c r="AU8" s="2794" t="n"/>
      <c r="AV8" s="2794">
        <f>SUM(AV32,AV128,AV273,AV345,AV370,AV442)</f>
        <v/>
      </c>
      <c r="AW8" s="2794" t="n"/>
      <c r="AX8" s="2793" t="n"/>
      <c r="AY8" s="2794" t="n"/>
      <c r="AZ8" s="2792">
        <f>SUM(C8:AW8)</f>
        <v/>
      </c>
      <c r="BA8" s="2794" t="n"/>
    </row>
    <row r="9" spans="1:55">
      <c r="A9" s="2787" t="s">
        <v>195</v>
      </c>
      <c r="B9" s="2788" t="n"/>
      <c r="C9" s="2787" t="n"/>
      <c r="D9" s="2787">
        <f>SUM(D33,D129,D274,D346,D371,D443)</f>
        <v/>
      </c>
      <c r="E9" s="2787" t="n"/>
      <c r="F9" s="2789" t="n"/>
      <c r="G9" s="2787" t="n"/>
      <c r="H9" s="2787">
        <f>SUM(H33,H129,H274,H346,H371,H443)</f>
        <v/>
      </c>
      <c r="I9" s="2787" t="n"/>
      <c r="J9" s="2789" t="n"/>
      <c r="K9" s="2787" t="n"/>
      <c r="L9" s="2787">
        <f>SUM(L33,L129,L274,L346,L371,L443)</f>
        <v/>
      </c>
      <c r="M9" s="2787" t="n"/>
      <c r="O9" s="2787" t="n"/>
      <c r="P9" s="2787">
        <f>SUM(P33,P129,P274,P346,P371,P443)</f>
        <v/>
      </c>
      <c r="Q9" s="2787" t="n"/>
      <c r="R9" s="2789" t="n"/>
      <c r="S9" s="2787" t="n"/>
      <c r="T9" s="2787">
        <f>SUM(T33,T129,T274,T346,T371,T443)</f>
        <v/>
      </c>
      <c r="U9" s="2787" t="n"/>
      <c r="W9" s="2787" t="n"/>
      <c r="X9" s="2787">
        <f>SUM(X33,X129,X274,X346,X371,X443)</f>
        <v/>
      </c>
      <c r="Y9" s="2787" t="n"/>
      <c r="AA9" s="2787" t="n"/>
      <c r="AB9" s="2787">
        <f>SUM(AB33,AB129,AB274,AB346,AB371,AB443)</f>
        <v/>
      </c>
      <c r="AC9" s="2787" t="n"/>
      <c r="AE9" s="2787" t="n"/>
      <c r="AF9" s="2787">
        <f>SUM(AF33,AF129,AF274,AF346,AF371,AF443)</f>
        <v/>
      </c>
      <c r="AG9" s="2787" t="n"/>
      <c r="AI9" s="2787" t="n"/>
      <c r="AJ9" s="2787">
        <f>SUM(AJ33,AJ129,AJ274,AJ346,AJ371,AJ443)</f>
        <v/>
      </c>
      <c r="AK9" s="2787" t="n"/>
      <c r="AL9" s="2788" t="n"/>
      <c r="AM9" s="2787" t="n"/>
      <c r="AN9" s="2787">
        <f>SUM(AN33,AN129,AN274,AN346,AN371,AN443)</f>
        <v/>
      </c>
      <c r="AO9" s="2787" t="n"/>
      <c r="AP9" s="2790" t="n"/>
      <c r="AQ9" s="2787" t="n"/>
      <c r="AR9" s="2787">
        <f>SUM(AR33,AR129,AR274,AR346,AR371,AR443)</f>
        <v/>
      </c>
      <c r="AS9" s="2787" t="n"/>
      <c r="AT9" s="2788" t="n"/>
      <c r="AU9" s="2787" t="n"/>
      <c r="AV9" s="2787">
        <f>SUM(AV33,AV129,AV274,AV346,AV371,AV443)</f>
        <v/>
      </c>
      <c r="AW9" s="2787" t="n"/>
      <c r="AX9" s="2788" t="n"/>
      <c r="AY9" s="2787" t="n"/>
      <c r="AZ9" s="2787">
        <f>SUM(C9:AW9)</f>
        <v/>
      </c>
      <c r="BA9" s="2787" t="n"/>
    </row>
    <row r="10" spans="1:55">
      <c r="A10" s="2792" t="s">
        <v>366</v>
      </c>
      <c r="B10" s="2793" t="n"/>
      <c r="C10" s="2794" t="n"/>
      <c r="D10" s="2794">
        <f>SUM(D34,D130,D275,D347,D372,D444)</f>
        <v/>
      </c>
      <c r="E10" s="2794" t="n"/>
      <c r="F10" s="2793" t="n"/>
      <c r="G10" s="2794" t="n"/>
      <c r="H10" s="2794">
        <f>SUM(H34,H130,H275,H347,H372,H444)</f>
        <v/>
      </c>
      <c r="I10" s="2794" t="n"/>
      <c r="J10" s="2793" t="n"/>
      <c r="K10" s="2794" t="n"/>
      <c r="L10" s="2794">
        <f>SUM(L34,L130,L275,L347,L372,L444)</f>
        <v/>
      </c>
      <c r="M10" s="2792" t="n"/>
      <c r="N10" s="2795" t="n"/>
      <c r="O10" s="2794" t="n"/>
      <c r="P10" s="2794">
        <f>SUM(P34,P130,P275,P347,P372,P444)</f>
        <v/>
      </c>
      <c r="Q10" s="2794" t="n"/>
      <c r="R10" s="2793" t="n"/>
      <c r="S10" s="2794" t="n"/>
      <c r="T10" s="2794">
        <f>SUM(T34,T130,T275,T347,T372,T444)</f>
        <v/>
      </c>
      <c r="U10" s="2794" t="n"/>
      <c r="V10" s="2795" t="n"/>
      <c r="W10" s="2794" t="n"/>
      <c r="X10" s="2794">
        <f>SUM(X34,X130,X275,X347,X372,X444)</f>
        <v/>
      </c>
      <c r="Y10" s="2794" t="n"/>
      <c r="Z10" s="2795" t="n"/>
      <c r="AA10" s="2794" t="n"/>
      <c r="AB10" s="2794">
        <f>SUM(AB34,AB130,AB275,AB347,AB372,AB444)</f>
        <v/>
      </c>
      <c r="AC10" s="2794" t="n"/>
      <c r="AD10" s="2795" t="n"/>
      <c r="AE10" s="2794" t="n"/>
      <c r="AF10" s="2794">
        <f>SUM(AF34,AF130,AF275,AF347,AF372,AF444)</f>
        <v/>
      </c>
      <c r="AG10" s="2794" t="n"/>
      <c r="AH10" s="2795" t="n"/>
      <c r="AI10" s="2794" t="n"/>
      <c r="AJ10" s="2794">
        <f>SUM(AJ34,AJ130,AJ275,AJ347,AJ372,AJ444)</f>
        <v/>
      </c>
      <c r="AK10" s="2794" t="n"/>
      <c r="AL10" s="2793" t="n"/>
      <c r="AM10" s="2794" t="n"/>
      <c r="AN10" s="2794">
        <f>SUM(AN34,AN130,AN275,AN347,AN372,AN444)</f>
        <v/>
      </c>
      <c r="AO10" s="2794" t="n"/>
      <c r="AP10" s="2793" t="n"/>
      <c r="AQ10" s="2794" t="n"/>
      <c r="AR10" s="2794">
        <f>SUM(AR34,AR130,AR275,AR347,AR372,AR444)</f>
        <v/>
      </c>
      <c r="AS10" s="2794" t="n"/>
      <c r="AT10" s="2793" t="n"/>
      <c r="AU10" s="2794" t="n"/>
      <c r="AV10" s="2794">
        <f>SUM(AV34,AV130,AV275,AV347,AV372,AV444)</f>
        <v/>
      </c>
      <c r="AW10" s="2794" t="n"/>
      <c r="AX10" s="2793" t="n"/>
      <c r="AY10" s="2794" t="n"/>
      <c r="AZ10" s="2792">
        <f>SUM(C10:AW10)</f>
        <v/>
      </c>
      <c r="BA10" s="2794" t="n"/>
    </row>
    <row r="11" spans="1:55">
      <c r="A11" s="2787" t="s">
        <v>161</v>
      </c>
      <c r="B11" s="2788" t="n"/>
      <c r="C11" s="2787" t="n"/>
      <c r="D11" s="2787">
        <f>SUM(D35,D131,D276,D348,D373,D445)</f>
        <v/>
      </c>
      <c r="E11" s="2787" t="n"/>
      <c r="F11" s="2789" t="n"/>
      <c r="G11" s="2787" t="n"/>
      <c r="H11" s="2787">
        <f>SUM(H35,H131,H276,H348,H373,H445)</f>
        <v/>
      </c>
      <c r="I11" s="2787" t="n"/>
      <c r="J11" s="2789" t="n"/>
      <c r="K11" s="2787" t="n"/>
      <c r="L11" s="2787">
        <f>SUM(L35,L131,L276,L348,L373,L445)</f>
        <v/>
      </c>
      <c r="M11" s="2787" t="n"/>
      <c r="O11" s="2787" t="n"/>
      <c r="P11" s="2787">
        <f>SUM(P35,P131,P276,P348,P373,P445)</f>
        <v/>
      </c>
      <c r="Q11" s="2787" t="n"/>
      <c r="R11" s="2789" t="n"/>
      <c r="S11" s="2787" t="n"/>
      <c r="T11" s="2787">
        <f>SUM(T35,T131,T276,T348,T373,T445)</f>
        <v/>
      </c>
      <c r="U11" s="2787" t="n"/>
      <c r="W11" s="2787" t="n"/>
      <c r="X11" s="2787">
        <f>SUM(X35,X131,X276,X348,X373,X445)</f>
        <v/>
      </c>
      <c r="Y11" s="2787" t="n"/>
      <c r="AA11" s="2787" t="n"/>
      <c r="AB11" s="2787">
        <f>SUM(AB35,AB131,AB276,AB348,AB373,AB445)</f>
        <v/>
      </c>
      <c r="AC11" s="2787" t="n"/>
      <c r="AE11" s="2787" t="n"/>
      <c r="AF11" s="2787">
        <f>SUM(AF35,AF131,AF276,AF348,AF373,AF445)</f>
        <v/>
      </c>
      <c r="AG11" s="2787" t="n"/>
      <c r="AI11" s="2787" t="n"/>
      <c r="AJ11" s="2787">
        <f>SUM(AJ35,AJ131,AJ276,AJ348,AJ373,AJ445)</f>
        <v/>
      </c>
      <c r="AK11" s="2787" t="n"/>
      <c r="AL11" s="2788" t="n"/>
      <c r="AM11" s="2787" t="n"/>
      <c r="AN11" s="2787">
        <f>SUM(AN35,AN131,AN276,AN348,AN373,AN445)</f>
        <v/>
      </c>
      <c r="AO11" s="2787" t="n"/>
      <c r="AP11" s="2790" t="n"/>
      <c r="AQ11" s="2787" t="n"/>
      <c r="AR11" s="2787">
        <f>SUM(AR35,AR131,AR276,AR348,AR373,AR445)</f>
        <v/>
      </c>
      <c r="AS11" s="2787" t="n"/>
      <c r="AT11" s="2788" t="n"/>
      <c r="AU11" s="2787" t="n"/>
      <c r="AV11" s="2787">
        <f>SUM(AV35,AV131,AV276,AV348,AV373,AV445)</f>
        <v/>
      </c>
      <c r="AW11" s="2787" t="n"/>
      <c r="AX11" s="2788" t="n"/>
      <c r="AY11" s="2787" t="n"/>
      <c r="AZ11" s="2787">
        <f>SUM(C11:AW11)</f>
        <v/>
      </c>
      <c r="BA11" s="2787" t="n"/>
    </row>
    <row r="12" spans="1:55">
      <c r="A12" s="2787" t="s">
        <v>367</v>
      </c>
      <c r="B12" s="2788" t="n"/>
      <c r="C12" s="2791" t="n"/>
      <c r="D12" s="2787">
        <f>SUM(D36,D132,D277,D349,D374,D446)</f>
        <v/>
      </c>
      <c r="E12" s="2787" t="n"/>
      <c r="F12" s="2789" t="n"/>
      <c r="G12" s="2791" t="n"/>
      <c r="H12" s="2787">
        <f>SUM(H36,H132,H277,H349,H374,H446)</f>
        <v/>
      </c>
      <c r="I12" s="2791" t="n"/>
      <c r="J12" s="2789" t="n"/>
      <c r="K12" s="2791" t="n"/>
      <c r="L12" s="2787">
        <f>SUM(L36,L132,L277,L349,L374,L446)</f>
        <v/>
      </c>
      <c r="M12" s="2787" t="n"/>
      <c r="O12" s="2791" t="n"/>
      <c r="P12" s="2787">
        <f>SUM(P36,P132,P277,P349,P374,P446)</f>
        <v/>
      </c>
      <c r="Q12" s="2791" t="n"/>
      <c r="R12" s="2789" t="n"/>
      <c r="S12" s="2791" t="n"/>
      <c r="T12" s="2787">
        <f>SUM(T36,T132,T277,T349,T374,T446)</f>
        <v/>
      </c>
      <c r="U12" s="2791" t="n"/>
      <c r="W12" s="2791" t="n"/>
      <c r="X12" s="2787">
        <f>SUM(X36,X132,X277,X349,X374,X446)</f>
        <v/>
      </c>
      <c r="Y12" s="2791" t="n"/>
      <c r="AA12" s="2791" t="n"/>
      <c r="AB12" s="2787">
        <f>SUM(AB36,AB132,AB277,AB349,AB374,AB446)</f>
        <v/>
      </c>
      <c r="AC12" s="2791" t="n"/>
      <c r="AE12" s="2791" t="n"/>
      <c r="AF12" s="2787">
        <f>SUM(AF36,AF132,AF277,AF349,AF374,AF446)</f>
        <v/>
      </c>
      <c r="AG12" s="2791" t="n"/>
      <c r="AI12" s="2791" t="n"/>
      <c r="AJ12" s="2787">
        <f>SUM(AJ36,AJ132,AJ277,AJ349,AJ374,AJ446)</f>
        <v/>
      </c>
      <c r="AK12" s="2791" t="n"/>
      <c r="AL12" s="2788" t="n"/>
      <c r="AM12" s="2791" t="n"/>
      <c r="AN12" s="2787">
        <f>SUM(AN36,AN132,AN277,AN349,AN374,AN446)</f>
        <v/>
      </c>
      <c r="AO12" s="2791" t="n"/>
      <c r="AP12" s="2790" t="n"/>
      <c r="AQ12" s="2791" t="n"/>
      <c r="AR12" s="2787">
        <f>SUM(AR36,AR132,AR277,AR349,AR374,AR446)</f>
        <v/>
      </c>
      <c r="AS12" s="2791" t="n"/>
      <c r="AT12" s="2788" t="n"/>
      <c r="AU12" s="2791" t="n"/>
      <c r="AV12" s="2787">
        <f>SUM(AV36,AV132,AV277,AV349,AV374,AV446)</f>
        <v/>
      </c>
      <c r="AW12" s="2791" t="n"/>
      <c r="AX12" s="2788" t="n"/>
      <c r="AY12" s="2791" t="n"/>
      <c r="AZ12" s="2787">
        <f>SUM(C12:AW12)</f>
        <v/>
      </c>
      <c r="BA12" s="2791" t="n"/>
    </row>
    <row r="13" spans="1:55">
      <c r="A13" s="2787" t="s">
        <v>232</v>
      </c>
      <c r="B13" s="2788" t="n"/>
      <c r="C13" s="2787" t="n"/>
      <c r="D13" s="2787">
        <f>SUM(D37,D133,D278,D350,D375,D447)</f>
        <v/>
      </c>
      <c r="E13" s="2796" t="n"/>
      <c r="F13" s="2789" t="n"/>
      <c r="G13" s="2787" t="n"/>
      <c r="H13" s="2787">
        <f>SUM(H37,H133,H278,H350,H375,H447)</f>
        <v/>
      </c>
      <c r="I13" s="2787" t="n"/>
      <c r="J13" s="2789" t="n"/>
      <c r="K13" s="2787" t="n"/>
      <c r="L13" s="2787">
        <f>SUM(L37,L133,L278,L350,L375,L447)</f>
        <v/>
      </c>
      <c r="M13" s="2787" t="n"/>
      <c r="O13" s="2787" t="n"/>
      <c r="P13" s="2787">
        <f>SUM(P37,P133,P278,P350,P375,P447)</f>
        <v/>
      </c>
      <c r="Q13" s="2787" t="n"/>
      <c r="R13" s="2789" t="n"/>
      <c r="S13" s="2787" t="n"/>
      <c r="T13" s="2787">
        <f>SUM(T37,T133,T278,T350,T375,T447)</f>
        <v/>
      </c>
      <c r="U13" s="2787" t="n"/>
      <c r="W13" s="2787" t="n"/>
      <c r="X13" s="2787">
        <f>SUM(X37,X133,X278,X350,X375,X447)</f>
        <v/>
      </c>
      <c r="Y13" s="2787" t="n"/>
      <c r="AA13" s="2787" t="n"/>
      <c r="AB13" s="2787">
        <f>SUM(AB37,AB133,AB278,AB350,AB375,AB447)</f>
        <v/>
      </c>
      <c r="AC13" s="2787" t="n"/>
      <c r="AE13" s="2787" t="n"/>
      <c r="AF13" s="2787">
        <f>SUM(AF37,AF133,AF278,AF350,AF375,AF447)</f>
        <v/>
      </c>
      <c r="AG13" s="2787" t="n"/>
      <c r="AI13" s="2787" t="n"/>
      <c r="AJ13" s="2787">
        <f>SUM(AJ37,AJ133,AJ278,AJ350,AJ375,AJ447)</f>
        <v/>
      </c>
      <c r="AK13" s="2787" t="n"/>
      <c r="AL13" s="2788" t="n"/>
      <c r="AM13" s="2787" t="n"/>
      <c r="AN13" s="2787">
        <f>SUM(AN37,AN133,AN278,AN350,AN375,AN447)</f>
        <v/>
      </c>
      <c r="AO13" s="2787" t="n"/>
      <c r="AP13" s="2790" t="n"/>
      <c r="AQ13" s="2787" t="n"/>
      <c r="AR13" s="2787">
        <f>SUM(AR37,AR133,AR278,AR350,AR375,AR447)</f>
        <v/>
      </c>
      <c r="AS13" s="2787" t="n"/>
      <c r="AT13" s="2788" t="n"/>
      <c r="AU13" s="2787" t="n"/>
      <c r="AV13" s="2787">
        <f>SUM(AV37,AV133,AV278,AV350,AV375,AV447)</f>
        <v/>
      </c>
      <c r="AW13" s="2787" t="n"/>
      <c r="AX13" s="2788" t="n"/>
      <c r="AY13" s="2787" t="n"/>
      <c r="AZ13" s="2787">
        <f>SUM(C13:AW13)</f>
        <v/>
      </c>
      <c r="BA13" s="2787" t="n"/>
    </row>
    <row customFormat="1" r="14" s="2216" spans="1:55">
      <c r="A14" s="2797" t="s">
        <v>233</v>
      </c>
      <c r="B14" s="2788" t="n"/>
      <c r="C14" s="2797" t="n"/>
      <c r="D14" s="2787">
        <f>SUM(D38,D134,D279,D351,D376,D448)</f>
        <v/>
      </c>
      <c r="E14" s="2798" t="n"/>
      <c r="F14" s="2789" t="n"/>
      <c r="G14" s="2797" t="n"/>
      <c r="H14" s="2787">
        <f>SUM(H38,H134,H279,H351,H376,H448)</f>
        <v/>
      </c>
      <c r="I14" s="2797" t="n"/>
      <c r="J14" s="2789" t="n"/>
      <c r="K14" s="2797" t="n"/>
      <c r="L14" s="2787">
        <f>SUM(L38,L134,L279,L351,L376,L448)</f>
        <v/>
      </c>
      <c r="M14" s="2787" t="n"/>
      <c r="N14" s="2799" t="n"/>
      <c r="O14" s="2797" t="n"/>
      <c r="P14" s="2787">
        <f>SUM(P38,P134,P279,P351,P376,P448)</f>
        <v/>
      </c>
      <c r="Q14" s="2797" t="n"/>
      <c r="R14" s="2789" t="n"/>
      <c r="S14" s="2797" t="n"/>
      <c r="T14" s="2787">
        <f>SUM(T38,T134,T279,T351,T376,T448)</f>
        <v/>
      </c>
      <c r="U14" s="2797" t="n"/>
      <c r="V14" s="2799" t="n"/>
      <c r="W14" s="2797" t="n"/>
      <c r="X14" s="2787">
        <f>SUM(X38,X134,X279,X351,X376,X448)</f>
        <v/>
      </c>
      <c r="Y14" s="2797" t="n"/>
      <c r="Z14" s="2799" t="n"/>
      <c r="AA14" s="2797" t="n"/>
      <c r="AB14" s="2787">
        <f>SUM(AB38,AB134,AB279,AB351,AB376,AB448)</f>
        <v/>
      </c>
      <c r="AC14" s="2797" t="n"/>
      <c r="AD14" s="2799" t="n"/>
      <c r="AE14" s="2797" t="n"/>
      <c r="AF14" s="2787">
        <f>SUM(AF38,AF134,AF279,AF351,AF376,AF448)</f>
        <v/>
      </c>
      <c r="AG14" s="2797" t="n"/>
      <c r="AH14" s="2799" t="n"/>
      <c r="AI14" s="2797" t="n"/>
      <c r="AJ14" s="2787">
        <f>SUM(AJ38,AJ134,AJ279,AJ351,AJ376,AJ448)</f>
        <v/>
      </c>
      <c r="AK14" s="2797" t="n"/>
      <c r="AL14" s="2788" t="n"/>
      <c r="AM14" s="2797" t="n"/>
      <c r="AN14" s="2787">
        <f>SUM(AN38,AN134,AN279,AN351,AN376,AN448)</f>
        <v/>
      </c>
      <c r="AO14" s="2797" t="n"/>
      <c r="AP14" s="2790" t="n"/>
      <c r="AQ14" s="2797" t="n"/>
      <c r="AR14" s="2787">
        <f>SUM(AR38,AR134,AR279,AR351,AR376,AR448)</f>
        <v/>
      </c>
      <c r="AS14" s="2797" t="n"/>
      <c r="AT14" s="2788" t="n"/>
      <c r="AU14" s="2797" t="n"/>
      <c r="AV14" s="2787">
        <f>SUM(AV38,AV134,AV279,AV351,AV376,AV448)</f>
        <v/>
      </c>
      <c r="AW14" s="2797" t="n"/>
      <c r="AX14" s="2788" t="n"/>
      <c r="AY14" s="2797" t="n"/>
      <c r="AZ14" s="2787">
        <f>SUM(C14:AW14)</f>
        <v/>
      </c>
      <c r="BA14" s="2797" t="n"/>
    </row>
    <row customFormat="1" r="15" s="2216" spans="1:55">
      <c r="A15" s="2797" t="s">
        <v>368</v>
      </c>
      <c r="B15" s="2788" t="n"/>
      <c r="C15" s="2797" t="n"/>
      <c r="D15" s="2787">
        <f>SUM(D39,D135,D280,D352,D377,D449)</f>
        <v/>
      </c>
      <c r="E15" s="2787" t="n"/>
      <c r="F15" s="2789" t="n"/>
      <c r="G15" s="2797" t="n"/>
      <c r="H15" s="2787">
        <f>SUM(H39,H135,H280,H352,H377,H449)</f>
        <v/>
      </c>
      <c r="I15" s="2797" t="n"/>
      <c r="J15" s="2789" t="n"/>
      <c r="K15" s="2797" t="n"/>
      <c r="L15" s="2787">
        <f>SUM(L39,L135,L280,L352,L377,L449)</f>
        <v/>
      </c>
      <c r="M15" s="2787" t="n"/>
      <c r="N15" s="2799" t="n"/>
      <c r="O15" s="2797" t="n"/>
      <c r="P15" s="2787">
        <f>SUM(P39,P135,P280,P352,P377,P449)</f>
        <v/>
      </c>
      <c r="Q15" s="2797" t="n"/>
      <c r="R15" s="2789" t="n"/>
      <c r="S15" s="2797" t="n"/>
      <c r="T15" s="2787">
        <f>SUM(T39,T135,T280,T352,T377,T449)</f>
        <v/>
      </c>
      <c r="U15" s="2797" t="n"/>
      <c r="V15" s="2799" t="n"/>
      <c r="W15" s="2797" t="n"/>
      <c r="X15" s="2787">
        <f>SUM(X39,X135,X280,X352,X377,X449)</f>
        <v/>
      </c>
      <c r="Y15" s="2797" t="n"/>
      <c r="Z15" s="2799" t="n"/>
      <c r="AA15" s="2797" t="n"/>
      <c r="AB15" s="2787">
        <f>SUM(AB39,AB135,AB280,AB352,AB377,AB449)</f>
        <v/>
      </c>
      <c r="AC15" s="2797" t="n"/>
      <c r="AD15" s="2799" t="n"/>
      <c r="AE15" s="2797" t="n"/>
      <c r="AF15" s="2787">
        <f>SUM(AF39,AF135,AF280,AF352,AF377,AF449)</f>
        <v/>
      </c>
      <c r="AG15" s="2797" t="n"/>
      <c r="AH15" s="2799" t="n"/>
      <c r="AI15" s="2797" t="n"/>
      <c r="AJ15" s="2787">
        <f>SUM(AJ39,AJ135,AJ280,AJ352,AJ377,AJ449)</f>
        <v/>
      </c>
      <c r="AK15" s="2797" t="n"/>
      <c r="AL15" s="2788" t="n"/>
      <c r="AM15" s="2797" t="n"/>
      <c r="AN15" s="2787">
        <f>SUM(AN39,AN135,AN280,AN352,AN377,AN449)</f>
        <v/>
      </c>
      <c r="AO15" s="2797" t="n"/>
      <c r="AP15" s="2790" t="n"/>
      <c r="AQ15" s="2797" t="n"/>
      <c r="AR15" s="2787">
        <f>SUM(AR39,AR135,AR280,AR352,AR377,AR449)</f>
        <v/>
      </c>
      <c r="AS15" s="2797" t="n"/>
      <c r="AT15" s="2788" t="n"/>
      <c r="AU15" s="2797" t="n"/>
      <c r="AV15" s="2787">
        <f>SUM(AV39,AV135,AV280,AV352,AV377,AV449)</f>
        <v/>
      </c>
      <c r="AW15" s="2797" t="n"/>
      <c r="AX15" s="2788" t="n"/>
      <c r="AY15" s="2797" t="n"/>
      <c r="AZ15" s="2787">
        <f>SUM(C15:AW15)</f>
        <v/>
      </c>
      <c r="BA15" s="2797" t="n"/>
    </row>
    <row r="16" spans="1:55">
      <c r="A16" s="2787" t="s">
        <v>369</v>
      </c>
      <c r="B16" s="2788" t="n"/>
      <c r="C16" s="2787" t="n"/>
      <c r="D16" s="2787">
        <f>SUM(D40,D136,D281,D353,D378,D450)</f>
        <v/>
      </c>
      <c r="E16" s="2787" t="n"/>
      <c r="F16" s="2789" t="n"/>
      <c r="G16" s="2787" t="n"/>
      <c r="H16" s="2787">
        <f>SUM(H40,H136,H281,H353,H378,H450)</f>
        <v/>
      </c>
      <c r="I16" s="2787" t="n"/>
      <c r="J16" s="2789" t="n"/>
      <c r="K16" s="2787" t="n"/>
      <c r="L16" s="2787">
        <f>SUM(L40,L136,L281,L353,L378,L450)</f>
        <v/>
      </c>
      <c r="M16" s="2787" t="n"/>
      <c r="N16" s="2789" t="n"/>
      <c r="O16" s="2787" t="n"/>
      <c r="P16" s="2787">
        <f>SUM(P40,P136,P281,P353,P378,P450)</f>
        <v/>
      </c>
      <c r="Q16" s="2787" t="n"/>
      <c r="R16" s="2789" t="n"/>
      <c r="S16" s="2787" t="n"/>
      <c r="T16" s="2787">
        <f>SUM(T40,T136,T281,T353,T378,T450)</f>
        <v/>
      </c>
      <c r="U16" s="2787" t="n"/>
      <c r="V16" s="2789" t="n"/>
      <c r="W16" s="2787" t="n"/>
      <c r="X16" s="2787">
        <f>SUM(X40,X136,X281,X353,X378,X450)</f>
        <v/>
      </c>
      <c r="Y16" s="2787" t="n"/>
      <c r="Z16" s="2789" t="n"/>
      <c r="AA16" s="2787" t="n"/>
      <c r="AB16" s="2787">
        <f>SUM(AB40,AB136,AB281,AB353,AB378,AB450)</f>
        <v/>
      </c>
      <c r="AC16" s="2787" t="n"/>
      <c r="AD16" s="2789" t="n"/>
      <c r="AE16" s="2787" t="n"/>
      <c r="AF16" s="2787">
        <f>SUM(AF40,AF136,AF281,AF353,AF378,AF450)</f>
        <v/>
      </c>
      <c r="AG16" s="2787" t="n"/>
      <c r="AH16" s="2789" t="n"/>
      <c r="AI16" s="2787" t="n"/>
      <c r="AJ16" s="2787">
        <f>SUM(AJ40,AJ136,AJ281,AJ353,AJ378,AJ450)</f>
        <v/>
      </c>
      <c r="AK16" s="2787" t="n"/>
      <c r="AL16" s="2789" t="n"/>
      <c r="AM16" s="2787" t="n"/>
      <c r="AN16" s="2787">
        <f>SUM(AN40,AN136,AN281,AN353,AN378,AN450)</f>
        <v/>
      </c>
      <c r="AO16" s="2787" t="n"/>
      <c r="AP16" s="2790" t="n"/>
      <c r="AQ16" s="2787" t="n"/>
      <c r="AR16" s="2787">
        <f>SUM(AR40,AR136,AR281,AR353,AR378,AR450)</f>
        <v/>
      </c>
      <c r="AS16" s="2787" t="n"/>
      <c r="AT16" s="2788" t="n"/>
      <c r="AU16" s="2787" t="n"/>
      <c r="AV16" s="2787">
        <f>SUM(AV40,AV136,AV281,AV353,AV378,AV450)</f>
        <v/>
      </c>
      <c r="AW16" s="2787" t="n"/>
      <c r="AX16" s="2788" t="n"/>
      <c r="AY16" s="2787" t="n"/>
      <c r="AZ16" s="2787">
        <f>SUM(C16:AW16)</f>
        <v/>
      </c>
      <c r="BA16" s="2787" t="n"/>
    </row>
    <row r="17" spans="1:55">
      <c r="A17" s="2787" t="s">
        <v>370</v>
      </c>
      <c r="B17" s="2788" t="n"/>
      <c r="C17" s="2791" t="n"/>
      <c r="D17" s="2787">
        <f>SUM(D41,D137,D282,D354,D379,D451)</f>
        <v/>
      </c>
      <c r="E17" s="2787" t="n"/>
      <c r="F17" s="2789" t="n"/>
      <c r="G17" s="2791" t="n"/>
      <c r="H17" s="2787">
        <f>SUM(H41,H137,H282,H354,H379,H451)</f>
        <v/>
      </c>
      <c r="I17" s="2791" t="n"/>
      <c r="J17" s="2789" t="n"/>
      <c r="K17" s="2791" t="n"/>
      <c r="L17" s="2787">
        <f>SUM(L41,L137,L282,L354,L379,L451)</f>
        <v/>
      </c>
      <c r="M17" s="2787" t="n"/>
      <c r="O17" s="2791" t="n"/>
      <c r="P17" s="2787">
        <f>SUM(P41,P137,P282,P354,P379,P451)</f>
        <v/>
      </c>
      <c r="Q17" s="2791" t="n"/>
      <c r="R17" s="2789" t="n"/>
      <c r="S17" s="2791" t="n"/>
      <c r="T17" s="2787">
        <f>SUM(T41,T137,T282,T354,T379,T451)</f>
        <v/>
      </c>
      <c r="U17" s="2791" t="n"/>
      <c r="W17" s="2791" t="n"/>
      <c r="X17" s="2787">
        <f>SUM(X41,X137,X282,X354,X379,X451)</f>
        <v/>
      </c>
      <c r="Y17" s="2791" t="n"/>
      <c r="AA17" s="2791" t="n"/>
      <c r="AB17" s="2787">
        <f>SUM(AB41,AB137,AB282,AB354,AB379,AB451)</f>
        <v/>
      </c>
      <c r="AC17" s="2791" t="n"/>
      <c r="AE17" s="2791" t="n"/>
      <c r="AF17" s="2787">
        <f>SUM(AF41,AF137,AF282,AF354,AF379,AF451)</f>
        <v/>
      </c>
      <c r="AG17" s="2791" t="n"/>
      <c r="AI17" s="2791" t="n"/>
      <c r="AJ17" s="2787">
        <f>SUM(AJ41,AJ137,AJ282,AJ354,AJ379,AJ451)</f>
        <v/>
      </c>
      <c r="AK17" s="2791" t="n"/>
      <c r="AL17" s="2788" t="n"/>
      <c r="AM17" s="2791" t="n"/>
      <c r="AN17" s="2787">
        <f>SUM(AN41,AN137,AN282,AN354,AN379,AN451)</f>
        <v/>
      </c>
      <c r="AO17" s="2791" t="n"/>
      <c r="AP17" s="2790" t="n"/>
      <c r="AQ17" s="2791" t="n"/>
      <c r="AR17" s="2787">
        <f>SUM(AR41,AR137,AR282,AR354,AR379,AR451)</f>
        <v/>
      </c>
      <c r="AS17" s="2791" t="n"/>
      <c r="AT17" s="2788" t="n"/>
      <c r="AU17" s="2791" t="n"/>
      <c r="AV17" s="2787">
        <f>SUM(AV41,AV137,AV282,AV354,AV379,AV451)</f>
        <v/>
      </c>
      <c r="AW17" s="2791" t="n"/>
      <c r="AX17" s="2788" t="n"/>
      <c r="AY17" s="2791" t="n"/>
      <c r="AZ17" s="2787">
        <f>SUM(C17:AW17)</f>
        <v/>
      </c>
      <c r="BA17" s="2791" t="n"/>
    </row>
    <row r="18" spans="1:55">
      <c r="A18" s="2787" t="s">
        <v>371</v>
      </c>
      <c r="B18" s="2788" t="n"/>
      <c r="C18" s="2791" t="n"/>
      <c r="D18" s="2787">
        <f>SUM(D42,D138,D283,D355,D380,D452)</f>
        <v/>
      </c>
      <c r="E18" s="2787" t="n"/>
      <c r="F18" s="2789" t="n"/>
      <c r="G18" s="2791" t="n"/>
      <c r="H18" s="2787">
        <f>SUM(H42,H138,H283,H355,H380,H452)</f>
        <v/>
      </c>
      <c r="I18" s="2791" t="n"/>
      <c r="J18" s="2789" t="n"/>
      <c r="K18" s="2791" t="n"/>
      <c r="L18" s="2787">
        <f>SUM(L42,L138,L283,L355,L380,L452)</f>
        <v/>
      </c>
      <c r="M18" s="2787" t="n"/>
      <c r="O18" s="2791" t="n"/>
      <c r="P18" s="2787">
        <f>SUM(P42,P138,P283,P355,P380,P452)</f>
        <v/>
      </c>
      <c r="Q18" s="2791" t="n"/>
      <c r="R18" s="2789" t="n"/>
      <c r="S18" s="2791" t="n"/>
      <c r="T18" s="2787">
        <f>SUM(T42,T138,T283,T355,T380,T452)</f>
        <v/>
      </c>
      <c r="U18" s="2791" t="n"/>
      <c r="W18" s="2791" t="n"/>
      <c r="X18" s="2787">
        <f>SUM(X42,X138,X283,X355,X380,X452)</f>
        <v/>
      </c>
      <c r="Y18" s="2791" t="n"/>
      <c r="AA18" s="2791" t="n"/>
      <c r="AB18" s="2787">
        <f>SUM(AB42,AB138,AB283,AB355,AB380,AB452)</f>
        <v/>
      </c>
      <c r="AC18" s="2791" t="n"/>
      <c r="AE18" s="2791" t="n"/>
      <c r="AF18" s="2787">
        <f>SUM(AF42,AF138,AF283,AF355,AF380,AF452)</f>
        <v/>
      </c>
      <c r="AG18" s="2791" t="n"/>
      <c r="AI18" s="2791" t="n"/>
      <c r="AJ18" s="2787">
        <f>SUM(AJ42,AJ138,AJ283,AJ355,AJ380,AJ452)</f>
        <v/>
      </c>
      <c r="AK18" s="2791" t="n"/>
      <c r="AL18" s="2788" t="n"/>
      <c r="AM18" s="2791" t="n"/>
      <c r="AN18" s="2787">
        <f>SUM(AN42,AN138,AN283,AN355,AN380,AN452)</f>
        <v/>
      </c>
      <c r="AO18" s="2791" t="n"/>
      <c r="AP18" s="2790" t="n"/>
      <c r="AQ18" s="2791" t="n"/>
      <c r="AR18" s="2787">
        <f>SUM(AR42,AR138,AR283,AR355,AR380,AR452)</f>
        <v/>
      </c>
      <c r="AS18" s="2791" t="n"/>
      <c r="AT18" s="2788" t="n"/>
      <c r="AU18" s="2791" t="n"/>
      <c r="AV18" s="2787">
        <f>SUM(AV42,AV138,AV283,AV355,AV380,AV452)</f>
        <v/>
      </c>
      <c r="AW18" s="2791" t="n"/>
      <c r="AX18" s="2788" t="n"/>
      <c r="AY18" s="2791" t="n"/>
      <c r="AZ18" s="2787">
        <f>SUM(C18:AW18)</f>
        <v/>
      </c>
      <c r="BA18" s="2791" t="n"/>
    </row>
    <row r="19" spans="1:55">
      <c r="A19" s="2800" t="s">
        <v>372</v>
      </c>
      <c r="B19" s="2788" t="n"/>
      <c r="C19" s="2791" t="n"/>
      <c r="D19" s="2787">
        <f>SUM(D43,D139,D284,D356,D381,D453)</f>
        <v/>
      </c>
      <c r="E19" s="2787" t="n"/>
      <c r="F19" s="2789" t="n"/>
      <c r="G19" s="2791" t="n"/>
      <c r="H19" s="2787">
        <f>SUM(H43,H139,H284,H356,H381,H453)</f>
        <v/>
      </c>
      <c r="I19" s="2791" t="n"/>
      <c r="J19" s="2789" t="n"/>
      <c r="K19" s="2791" t="n"/>
      <c r="L19" s="2787">
        <f>SUM(L43,L139,L284,L356,L381,L453)</f>
        <v/>
      </c>
      <c r="M19" s="2791" t="n"/>
      <c r="O19" s="2791" t="n"/>
      <c r="P19" s="2787">
        <f>SUM(P43,P139,P284,P356,P381,P453)</f>
        <v/>
      </c>
      <c r="Q19" s="2791" t="n"/>
      <c r="R19" s="2789" t="n"/>
      <c r="S19" s="2791" t="n"/>
      <c r="T19" s="2787">
        <f>SUM(T43,T139,T284,T356,T381,T453)</f>
        <v/>
      </c>
      <c r="U19" s="2791" t="n"/>
      <c r="W19" s="2791" t="n"/>
      <c r="X19" s="2787">
        <f>SUM(X43,X139,X284,X356,X381,X453)</f>
        <v/>
      </c>
      <c r="Y19" s="2791" t="n"/>
      <c r="AA19" s="2791" t="n"/>
      <c r="AB19" s="2787">
        <f>SUM(AB43,AB139,AB284,AB356,AB381,AB453)</f>
        <v/>
      </c>
      <c r="AC19" s="2791" t="n"/>
      <c r="AE19" s="2791" t="n"/>
      <c r="AF19" s="2787">
        <f>SUM(AF43,AF139,AF284,AF356,AF381,AF453)</f>
        <v/>
      </c>
      <c r="AG19" s="2791" t="n"/>
      <c r="AI19" s="2791" t="n"/>
      <c r="AJ19" s="2787">
        <f>SUM(AJ43,AJ139,AJ284,AJ356,AJ381,AJ453)</f>
        <v/>
      </c>
      <c r="AK19" s="2791" t="n"/>
      <c r="AL19" s="2788" t="n"/>
      <c r="AM19" s="2791" t="n"/>
      <c r="AN19" s="2787">
        <f>SUM(AN43,AN139,AN284,AN356,AN381,AN453)</f>
        <v/>
      </c>
      <c r="AO19" s="2791" t="n"/>
      <c r="AP19" s="2790" t="n"/>
      <c r="AQ19" s="2791" t="n"/>
      <c r="AR19" s="2787">
        <f>SUM(AR43,AR139,AR284,AR356,AR381,AR453)</f>
        <v/>
      </c>
      <c r="AS19" s="2791" t="n"/>
      <c r="AT19" s="2788" t="n"/>
      <c r="AU19" s="2791" t="n"/>
      <c r="AV19" s="2787">
        <f>SUM(AV43,AV139,AV284,AV356,AV381,AV453)</f>
        <v/>
      </c>
      <c r="AW19" s="2791" t="n"/>
      <c r="AX19" s="2788" t="n"/>
      <c r="AY19" s="2791" t="n"/>
      <c r="AZ19" s="2787">
        <f>SUM(C19:AW19)</f>
        <v/>
      </c>
      <c r="BA19" s="2791" t="n"/>
    </row>
    <row r="20" spans="1:55">
      <c r="A20" s="2801" t="s">
        <v>89</v>
      </c>
      <c r="B20" s="2788" t="n"/>
      <c r="C20" s="2787">
        <f>SUM(C44,C140,C285,C357,C382,C454)</f>
        <v/>
      </c>
      <c r="D20" s="2787" t="n"/>
      <c r="E20" s="2787" t="n"/>
      <c r="F20" s="2789" t="n"/>
      <c r="G20" s="2787">
        <f>SUM(G44,G140,G285,G357,G382,G454)</f>
        <v/>
      </c>
      <c r="H20" s="2787" t="n"/>
      <c r="I20" s="2787" t="n"/>
      <c r="J20" s="2789" t="n"/>
      <c r="K20" s="2787">
        <f>SUM(K44,K140,K285,K357,K382,K454)</f>
        <v/>
      </c>
      <c r="L20" s="2787" t="n"/>
      <c r="M20" s="2787" t="n"/>
      <c r="O20" s="2787">
        <f>SUM(O44,O140,O285,O357,O382,O454)</f>
        <v/>
      </c>
      <c r="P20" s="2787" t="n"/>
      <c r="Q20" s="2787" t="n"/>
      <c r="R20" s="2789" t="n"/>
      <c r="S20" s="2787">
        <f>SUM(S44,S140,S285,S357,S382,S454)</f>
        <v/>
      </c>
      <c r="T20" s="2787" t="n"/>
      <c r="U20" s="2787" t="n"/>
      <c r="W20" s="2787">
        <f>SUM(W44,W140,W285,W357,W382,W454)</f>
        <v/>
      </c>
      <c r="X20" s="2787" t="n"/>
      <c r="Y20" s="2787" t="n"/>
      <c r="AA20" s="2787">
        <f>SUM(AA44,AA140,AA285,AA357,AA382,AA454)</f>
        <v/>
      </c>
      <c r="AB20" s="2787" t="n"/>
      <c r="AC20" s="2787" t="n"/>
      <c r="AE20" s="2787">
        <f>SUM(AE44,AE140,AE285,AE357,AE382,AE454)</f>
        <v/>
      </c>
      <c r="AF20" s="2787" t="n"/>
      <c r="AG20" s="2787" t="n"/>
      <c r="AI20" s="2787">
        <f>SUM(AI44,AI140,AI285,AI357,AI382,AI454)</f>
        <v/>
      </c>
      <c r="AJ20" s="2787" t="n"/>
      <c r="AK20" s="2787" t="n"/>
      <c r="AL20" s="2788" t="n"/>
      <c r="AM20" s="2787">
        <f>SUM(AM44,AM140,AM285,AM357,AM382,AM454)</f>
        <v/>
      </c>
      <c r="AN20" s="2787" t="n"/>
      <c r="AO20" s="2787" t="n"/>
      <c r="AP20" s="2790" t="n"/>
      <c r="AQ20" s="2787">
        <f>SUM(AQ44,AQ140,AQ285,AQ357,AQ382,AQ454)</f>
        <v/>
      </c>
      <c r="AR20" s="2787" t="n"/>
      <c r="AS20" s="2787" t="n"/>
      <c r="AT20" s="2788" t="n"/>
      <c r="AU20" s="2787">
        <f>SUM(AU44,AU140,AU285,AU357,AU382,AU454)</f>
        <v/>
      </c>
      <c r="AV20" s="2787" t="n"/>
      <c r="AW20" s="2787" t="n"/>
      <c r="AX20" s="2788" t="n"/>
      <c r="AY20" s="2787">
        <f>SUM(B20:AV20)</f>
        <v/>
      </c>
      <c r="AZ20" s="2787" t="n"/>
      <c r="BA20" s="2787" t="n"/>
    </row>
    <row r="21" spans="1:55">
      <c r="A21" s="2801" t="s">
        <v>153</v>
      </c>
      <c r="B21" s="2788" t="n"/>
      <c r="C21" s="2787" t="n"/>
      <c r="D21" s="2787" t="n"/>
      <c r="E21" s="2787">
        <f>SUM(C3:C21)-SUM(D3:D21)</f>
        <v/>
      </c>
      <c r="F21" s="2789" t="n"/>
      <c r="G21" s="2787" t="n"/>
      <c r="H21" s="2787" t="n"/>
      <c r="I21" s="2787">
        <f>SUM(G3:G21)-SUM(H3:H21)</f>
        <v/>
      </c>
      <c r="J21" s="2789" t="n"/>
      <c r="K21" s="2787" t="n"/>
      <c r="L21" s="2787" t="n"/>
      <c r="M21" s="2787">
        <f>SUM(K3:K21)-SUM(L3:L21)</f>
        <v/>
      </c>
      <c r="O21" s="2787" t="n"/>
      <c r="P21" s="2787" t="n"/>
      <c r="Q21" s="2787">
        <f>SUM(O3:O21)-SUM(P3:P21)</f>
        <v/>
      </c>
      <c r="R21" s="2789" t="n"/>
      <c r="S21" s="2787" t="n"/>
      <c r="T21" s="2787" t="n"/>
      <c r="U21" s="2787">
        <f>SUM(S3:S21)-SUM(T3:T21)</f>
        <v/>
      </c>
      <c r="W21" s="2787" t="n"/>
      <c r="X21" s="2787" t="n"/>
      <c r="Y21" s="2787">
        <f>SUM(W3:W21)-SUM(X3:X21)</f>
        <v/>
      </c>
      <c r="AA21" s="2787" t="n"/>
      <c r="AB21" s="2787" t="n"/>
      <c r="AC21" s="2787">
        <f>SUM(AA3:AA21)-SUM(AB3:AB21)</f>
        <v/>
      </c>
      <c r="AE21" s="2787" t="n"/>
      <c r="AF21" s="2787" t="n"/>
      <c r="AG21" s="2787">
        <f>SUM(AE3:AE21)-SUM(AF3:AF21)</f>
        <v/>
      </c>
      <c r="AI21" s="2787" t="n"/>
      <c r="AJ21" s="2787" t="n"/>
      <c r="AK21" s="2787">
        <f>SUM(AI3:AI21)-SUM(AJ3:AJ21)</f>
        <v/>
      </c>
      <c r="AL21" s="2788" t="n"/>
      <c r="AM21" s="2787" t="n"/>
      <c r="AN21" s="2787" t="n"/>
      <c r="AO21" s="2787">
        <f>SUM(AM3:AM21)-SUM(AN3:AN21)</f>
        <v/>
      </c>
      <c r="AP21" s="2790" t="n"/>
      <c r="AQ21" s="2787" t="n"/>
      <c r="AR21" s="2787" t="n"/>
      <c r="AS21" s="2787">
        <f>SUM(AQ3:AQ21)-SUM(AR3:AR21)</f>
        <v/>
      </c>
      <c r="AT21" s="2788" t="n"/>
      <c r="AU21" s="2787" t="n"/>
      <c r="AV21" s="2787" t="n"/>
      <c r="AW21" s="2787">
        <f>SUM(AU3:AU21)-SUM(AV3:AV21)</f>
        <v/>
      </c>
      <c r="AX21" s="2788" t="n"/>
      <c r="AY21" s="2787" t="n"/>
      <c r="AZ21" s="2787" t="n"/>
      <c r="BA21" s="2787">
        <f>SUM(D21:AY21)</f>
        <v/>
      </c>
    </row>
    <row customFormat="1" r="22" s="2802" spans="1:55">
      <c r="A22" s="2803" t="s">
        <v>173</v>
      </c>
      <c r="B22" s="2804" t="n"/>
      <c r="C22" s="2805">
        <f>SUM(C3:C21)</f>
        <v/>
      </c>
      <c r="D22" s="2805">
        <f>SUM(D3:D21)</f>
        <v/>
      </c>
      <c r="E22" s="2805">
        <f>SUM(E21:E21)</f>
        <v/>
      </c>
      <c r="F22" s="2806" t="n"/>
      <c r="G22" s="2805">
        <f>SUM(G3:G21)</f>
        <v/>
      </c>
      <c r="H22" s="2805">
        <f>SUM(H3:H21)</f>
        <v/>
      </c>
      <c r="I22" s="2805">
        <f>SUM(I21:I21)</f>
        <v/>
      </c>
      <c r="J22" s="2806" t="n"/>
      <c r="K22" s="2805">
        <f>SUM(K3:K21)</f>
        <v/>
      </c>
      <c r="L22" s="2805">
        <f>SUM(L3:L21)</f>
        <v/>
      </c>
      <c r="M22" s="2805">
        <f>SUM(M21:M21)</f>
        <v/>
      </c>
      <c r="O22" s="2805">
        <f>SUM(O3:O21)</f>
        <v/>
      </c>
      <c r="P22" s="2805">
        <f>SUM(P3:P21)</f>
        <v/>
      </c>
      <c r="Q22" s="2805">
        <f>SUM(Q21:Q21)</f>
        <v/>
      </c>
      <c r="R22" s="2806" t="n"/>
      <c r="S22" s="2805">
        <f>SUM(S3:S21)</f>
        <v/>
      </c>
      <c r="T22" s="2805">
        <f>SUM(T3:T21)</f>
        <v/>
      </c>
      <c r="U22" s="2805">
        <f>SUM(U21:U21)</f>
        <v/>
      </c>
      <c r="W22" s="2805">
        <f>SUM(W3:W21)</f>
        <v/>
      </c>
      <c r="X22" s="2805">
        <f>SUM(X3:X21)</f>
        <v/>
      </c>
      <c r="Y22" s="2805">
        <f>SUM(Y21:Y21)</f>
        <v/>
      </c>
      <c r="AA22" s="2805">
        <f>SUM(AA3:AA21)</f>
        <v/>
      </c>
      <c r="AB22" s="2805">
        <f>SUM(AB3:AB21)</f>
        <v/>
      </c>
      <c r="AC22" s="2805">
        <f>SUM(AC21:AC21)</f>
        <v/>
      </c>
      <c r="AE22" s="2805">
        <f>SUM(AE3:AE21)</f>
        <v/>
      </c>
      <c r="AF22" s="2805">
        <f>SUM(AF3:AF21)</f>
        <v/>
      </c>
      <c r="AG22" s="2805">
        <f>SUM(AG21:AG21)</f>
        <v/>
      </c>
      <c r="AI22" s="2805">
        <f>SUM(AI3:AI21)</f>
        <v/>
      </c>
      <c r="AJ22" s="2805">
        <f>SUM(AJ3:AJ21)</f>
        <v/>
      </c>
      <c r="AK22" s="2805">
        <f>SUM(AK21:AK21)</f>
        <v/>
      </c>
      <c r="AL22" s="2804" t="n"/>
      <c r="AM22" s="2805">
        <f>SUM(AM3:AM21)</f>
        <v/>
      </c>
      <c r="AN22" s="2805">
        <f>SUM(AN3:AN21)</f>
        <v/>
      </c>
      <c r="AO22" s="2805">
        <f>SUM(AO21:AO21)</f>
        <v/>
      </c>
      <c r="AP22" s="2807" t="n"/>
      <c r="AQ22" s="2805">
        <f>SUM(AQ3:AQ21)</f>
        <v/>
      </c>
      <c r="AR22" s="2805">
        <f>SUM(AR3:AR21)</f>
        <v/>
      </c>
      <c r="AS22" s="2805">
        <f>SUM(AS21:AS21)</f>
        <v/>
      </c>
      <c r="AT22" s="2804" t="n"/>
      <c r="AU22" s="2805">
        <f>SUM(AU3:AU21)</f>
        <v/>
      </c>
      <c r="AV22" s="2805">
        <f>SUM(AV3:AV21)</f>
        <v/>
      </c>
      <c r="AW22" s="2805">
        <f>SUM(AW21:AW21)</f>
        <v/>
      </c>
      <c r="AX22" s="2804" t="n"/>
      <c r="AY22" s="2805">
        <f>SUM(AY3:AY21)</f>
        <v/>
      </c>
      <c r="AZ22" s="2805">
        <f>SUM(AZ3:AZ21)</f>
        <v/>
      </c>
      <c r="BA22" s="2805">
        <f>SUM(BA21:BA21)</f>
        <v/>
      </c>
    </row>
    <row customFormat="1" r="23" s="2808" spans="1:55">
      <c r="A23" s="2803" t="s">
        <v>373</v>
      </c>
      <c r="B23" s="2804" t="n"/>
      <c r="C23" s="2805" t="n"/>
      <c r="D23" s="2805" t="n"/>
      <c r="E23" s="2809">
        <f>E22/C22</f>
        <v/>
      </c>
      <c r="F23" s="2806" t="n"/>
      <c r="G23" s="2805" t="n"/>
      <c r="H23" s="2805" t="n"/>
      <c r="I23" s="2809">
        <f>I22/G22</f>
        <v/>
      </c>
      <c r="J23" s="2806" t="n"/>
      <c r="K23" s="2805" t="n"/>
      <c r="L23" s="2805" t="n"/>
      <c r="M23" s="2809">
        <f>M22/K22</f>
        <v/>
      </c>
      <c r="O23" s="2805" t="n"/>
      <c r="P23" s="2805" t="n"/>
      <c r="Q23" s="2809">
        <f>Q22/O22</f>
        <v/>
      </c>
      <c r="R23" s="2806" t="n"/>
      <c r="S23" s="2805" t="n"/>
      <c r="T23" s="2805" t="n"/>
      <c r="U23" s="2809">
        <f>U22/S22</f>
        <v/>
      </c>
      <c r="W23" s="2805" t="n"/>
      <c r="X23" s="2805" t="n"/>
      <c r="Y23" s="2809">
        <f>Y22/W22</f>
        <v/>
      </c>
      <c r="AA23" s="2805" t="n"/>
      <c r="AB23" s="2805" t="n"/>
      <c r="AC23" s="2809">
        <f>AC22/AA22</f>
        <v/>
      </c>
      <c r="AE23" s="2805" t="n"/>
      <c r="AF23" s="2805" t="n"/>
      <c r="AG23" s="2809">
        <f>AG22/AE22</f>
        <v/>
      </c>
      <c r="AI23" s="2805" t="n"/>
      <c r="AJ23" s="2805" t="n"/>
      <c r="AK23" s="2809">
        <f>AK22/AI22</f>
        <v/>
      </c>
      <c r="AL23" s="2804" t="n"/>
      <c r="AM23" s="2805" t="n"/>
      <c r="AN23" s="2805" t="n"/>
      <c r="AO23" s="2809">
        <f>AO22/AM22</f>
        <v/>
      </c>
      <c r="AP23" s="2807" t="n"/>
      <c r="AQ23" s="2805" t="n"/>
      <c r="AR23" s="2805" t="n"/>
      <c r="AS23" s="2809">
        <f>AS22/AQ22</f>
        <v/>
      </c>
      <c r="AT23" s="2804" t="n"/>
      <c r="AU23" s="2805" t="n"/>
      <c r="AV23" s="2805" t="n"/>
      <c r="AW23" s="2809">
        <f>AW22/AU22</f>
        <v/>
      </c>
      <c r="AX23" s="2804" t="n"/>
      <c r="AY23" s="2805" t="n"/>
      <c r="AZ23" s="2805" t="n"/>
      <c r="BA23" s="2809">
        <f>BA22/AY22</f>
        <v/>
      </c>
    </row>
    <row customFormat="1" r="24" s="2808" spans="1:55">
      <c r="A24" s="2810" t="n"/>
      <c r="B24" s="2806" t="n"/>
      <c r="C24" s="2811" t="n"/>
      <c r="D24" s="2811">
        <f>SUM(D3:D9,D13:D19)</f>
        <v/>
      </c>
      <c r="E24" s="2812" t="n"/>
      <c r="F24" s="2813" t="n"/>
      <c r="G24" s="2812" t="n"/>
      <c r="H24" s="2811">
        <f>SUM(H3:H9,H13:H19)</f>
        <v/>
      </c>
      <c r="I24" s="2812" t="n"/>
      <c r="J24" s="2813" t="n"/>
      <c r="K24" s="2812" t="n"/>
      <c r="L24" s="2811">
        <f>SUM(L3:L9,L13:L19)</f>
        <v/>
      </c>
      <c r="M24" s="2812" t="n"/>
      <c r="O24" s="2812" t="n"/>
      <c r="P24" s="2811">
        <f>SUM(P3:P9,P13:P19)</f>
        <v/>
      </c>
      <c r="Q24" s="2812" t="n"/>
      <c r="R24" s="2813" t="n"/>
      <c r="S24" s="2812" t="n"/>
      <c r="T24" s="2811">
        <f>SUM(T3:T9,T13:T19)</f>
        <v/>
      </c>
      <c r="U24" s="2814" t="n"/>
      <c r="V24" s="2814" t="n"/>
      <c r="W24" s="2812" t="n"/>
      <c r="X24" s="2811">
        <f>SUM(X3:X9,X13:X19)</f>
        <v/>
      </c>
      <c r="Y24" s="2814" t="n"/>
      <c r="Z24" s="2814" t="n"/>
      <c r="AA24" s="2812" t="n"/>
      <c r="AB24" s="2811">
        <f>SUM(AB3:AB9,AB13:AB19)</f>
        <v/>
      </c>
      <c r="AC24" s="2814" t="n"/>
      <c r="AD24" s="2814" t="n"/>
      <c r="AE24" s="2812" t="n"/>
      <c r="AF24" s="2811">
        <f>SUM(AF3:AF9,AF13:AF19)</f>
        <v/>
      </c>
      <c r="AG24" s="2814" t="n"/>
      <c r="AH24" s="2814" t="n"/>
      <c r="AI24" s="2812" t="n"/>
      <c r="AJ24" s="2811">
        <f>SUM(AJ3:AJ9,AJ13:AJ19)</f>
        <v/>
      </c>
      <c r="AK24" s="2814" t="n"/>
      <c r="AL24" s="2813" t="n"/>
      <c r="AM24" s="2812" t="n"/>
      <c r="AN24" s="2811">
        <f>SUM(AN3:AN9,AN13:AN19)</f>
        <v/>
      </c>
      <c r="AO24" s="2814" t="n"/>
      <c r="AP24" s="2813" t="n"/>
      <c r="AQ24" s="2812" t="n"/>
      <c r="AR24" s="2811">
        <f>SUM(AR3:AR9,AR13:AR19)</f>
        <v/>
      </c>
      <c r="AS24" s="2814" t="n"/>
      <c r="AT24" s="2813" t="n"/>
      <c r="AU24" s="2812" t="n"/>
      <c r="AV24" s="2811">
        <f>SUM(AV3:AV9,AV13:AV19)</f>
        <v/>
      </c>
      <c r="AX24" s="2806" t="n"/>
      <c r="AY24" s="2806" t="n"/>
      <c r="AZ24" s="2811" t="n"/>
    </row>
    <row r="25" spans="1:55">
      <c r="A25" s="2815" t="s">
        <v>374</v>
      </c>
      <c r="B25" s="2816" t="n"/>
      <c r="C25" s="2817" t="s">
        <v>62</v>
      </c>
      <c r="F25" s="2816" t="n"/>
      <c r="G25" s="2817" t="s">
        <v>63</v>
      </c>
      <c r="J25" s="2816" t="n"/>
      <c r="K25" s="2817" t="s">
        <v>64</v>
      </c>
      <c r="N25" s="2818" t="n"/>
      <c r="O25" s="2817" t="s">
        <v>174</v>
      </c>
      <c r="R25" s="2816" t="n"/>
      <c r="S25" s="2817" t="s">
        <v>66</v>
      </c>
      <c r="V25" s="2818" t="n"/>
      <c r="W25" s="2817" t="s">
        <v>67</v>
      </c>
      <c r="Z25" s="2818" t="n"/>
      <c r="AA25" s="2817" t="s">
        <v>69</v>
      </c>
      <c r="AD25" s="2818" t="n"/>
      <c r="AE25" s="2817" t="s">
        <v>70</v>
      </c>
      <c r="AH25" s="2818" t="n"/>
      <c r="AI25" s="2817" t="s">
        <v>71</v>
      </c>
      <c r="AL25" s="2816" t="n"/>
      <c r="AM25" s="2817" t="s">
        <v>72</v>
      </c>
      <c r="AP25" s="2816" t="n"/>
      <c r="AQ25" s="2817" t="s">
        <v>73</v>
      </c>
      <c r="AT25" s="2816" t="n"/>
      <c r="AU25" s="2817" t="s">
        <v>74</v>
      </c>
      <c r="AX25" s="2816" t="n"/>
      <c r="AY25" s="2817" t="s">
        <v>173</v>
      </c>
    </row>
    <row r="26" spans="1:55">
      <c r="A26" s="2819" t="n"/>
      <c r="B26" s="2820" t="n"/>
      <c r="C26" s="2819" t="s">
        <v>89</v>
      </c>
      <c r="D26" s="2819" t="s">
        <v>152</v>
      </c>
      <c r="E26" s="2819" t="s">
        <v>153</v>
      </c>
      <c r="F26" s="2820" t="n"/>
      <c r="G26" s="2819" t="s">
        <v>89</v>
      </c>
      <c r="H26" s="2819" t="s">
        <v>152</v>
      </c>
      <c r="I26" s="2819" t="s">
        <v>153</v>
      </c>
      <c r="J26" s="2820" t="n"/>
      <c r="K26" s="2819" t="s">
        <v>89</v>
      </c>
      <c r="L26" s="2819" t="s">
        <v>152</v>
      </c>
      <c r="M26" s="2819" t="s">
        <v>153</v>
      </c>
      <c r="N26" s="2818" t="n"/>
      <c r="O26" s="2819" t="s">
        <v>89</v>
      </c>
      <c r="P26" s="2819" t="s">
        <v>152</v>
      </c>
      <c r="Q26" s="2819" t="s">
        <v>153</v>
      </c>
      <c r="R26" s="2820" t="n"/>
      <c r="S26" s="2819" t="s">
        <v>89</v>
      </c>
      <c r="T26" s="2819" t="s">
        <v>152</v>
      </c>
      <c r="U26" s="2819" t="s">
        <v>153</v>
      </c>
      <c r="V26" s="2818" t="n"/>
      <c r="W26" s="2819" t="s">
        <v>89</v>
      </c>
      <c r="X26" s="2819" t="s">
        <v>152</v>
      </c>
      <c r="Y26" s="2819" t="s">
        <v>153</v>
      </c>
      <c r="Z26" s="2818" t="n"/>
      <c r="AA26" s="2819" t="s">
        <v>89</v>
      </c>
      <c r="AB26" s="2819" t="s">
        <v>152</v>
      </c>
      <c r="AC26" s="2819" t="s">
        <v>153</v>
      </c>
      <c r="AD26" s="2818" t="n"/>
      <c r="AE26" s="2819" t="s">
        <v>89</v>
      </c>
      <c r="AF26" s="2819" t="s">
        <v>152</v>
      </c>
      <c r="AG26" s="2819" t="s">
        <v>153</v>
      </c>
      <c r="AH26" s="2818" t="n"/>
      <c r="AI26" s="2819" t="s">
        <v>89</v>
      </c>
      <c r="AJ26" s="2819" t="s">
        <v>152</v>
      </c>
      <c r="AK26" s="2819" t="s">
        <v>153</v>
      </c>
      <c r="AL26" s="2820" t="n"/>
      <c r="AM26" s="2819" t="s">
        <v>89</v>
      </c>
      <c r="AN26" s="2819" t="s">
        <v>152</v>
      </c>
      <c r="AO26" s="2819" t="s">
        <v>153</v>
      </c>
      <c r="AP26" s="2820" t="n"/>
      <c r="AQ26" s="2819" t="s">
        <v>89</v>
      </c>
      <c r="AR26" s="2819" t="s">
        <v>152</v>
      </c>
      <c r="AS26" s="2819" t="s">
        <v>153</v>
      </c>
      <c r="AT26" s="2820" t="n"/>
      <c r="AU26" s="2819" t="s">
        <v>89</v>
      </c>
      <c r="AV26" s="2819" t="s">
        <v>152</v>
      </c>
      <c r="AW26" s="2819" t="s">
        <v>153</v>
      </c>
      <c r="AX26" s="2820" t="n"/>
      <c r="AY26" s="2819" t="s">
        <v>89</v>
      </c>
      <c r="AZ26" s="2819" t="s">
        <v>152</v>
      </c>
      <c r="BA26" s="2819" t="s">
        <v>153</v>
      </c>
    </row>
    <row r="27" spans="1:55">
      <c r="A27" s="2821" t="s">
        <v>187</v>
      </c>
      <c r="B27" s="2822" t="n"/>
      <c r="C27" s="2821" t="n"/>
      <c r="D27" s="2821">
        <f>D51+D75+D99</f>
        <v/>
      </c>
      <c r="E27" s="2821" t="n"/>
      <c r="F27" s="2822" t="n"/>
      <c r="G27" s="2821" t="n"/>
      <c r="H27" s="2821">
        <f>H51+H75+H99</f>
        <v/>
      </c>
      <c r="I27" s="2821" t="n"/>
      <c r="J27" s="2822" t="n"/>
      <c r="K27" s="2821" t="n"/>
      <c r="L27" s="2821">
        <f>L51+L75+L99</f>
        <v/>
      </c>
      <c r="M27" s="2821" t="n"/>
      <c r="N27" s="2818" t="n"/>
      <c r="O27" s="2821" t="n"/>
      <c r="P27" s="2821">
        <f>P51+P75+P99</f>
        <v/>
      </c>
      <c r="Q27" s="2821" t="n"/>
      <c r="R27" s="2822" t="n"/>
      <c r="S27" s="2821" t="n"/>
      <c r="T27" s="2821">
        <f>T51+T75+T99</f>
        <v/>
      </c>
      <c r="U27" s="2821" t="n"/>
      <c r="V27" s="2818" t="n"/>
      <c r="W27" s="2821" t="n"/>
      <c r="X27" s="2821">
        <f>X51+X75+X99</f>
        <v/>
      </c>
      <c r="Y27" s="2821" t="n"/>
      <c r="Z27" s="2818" t="n"/>
      <c r="AA27" s="2821" t="n"/>
      <c r="AB27" s="2821">
        <f>AB51+AB75+AB99</f>
        <v/>
      </c>
      <c r="AC27" s="2821" t="n"/>
      <c r="AD27" s="2818" t="n"/>
      <c r="AE27" s="2821" t="n"/>
      <c r="AF27" s="2821">
        <f>AF51+AF75+AF99</f>
        <v/>
      </c>
      <c r="AG27" s="2821" t="n"/>
      <c r="AH27" s="2818" t="n"/>
      <c r="AI27" s="2821" t="n"/>
      <c r="AJ27" s="2821">
        <f>AJ51+AJ75+AJ99</f>
        <v/>
      </c>
      <c r="AK27" s="2821" t="n"/>
      <c r="AL27" s="2822" t="n"/>
      <c r="AM27" s="2821" t="n"/>
      <c r="AN27" s="2821">
        <f>AN51+AN75+AN99</f>
        <v/>
      </c>
      <c r="AO27" s="2821" t="n"/>
      <c r="AP27" s="2822" t="n"/>
      <c r="AQ27" s="2821" t="n"/>
      <c r="AR27" s="2821">
        <f>AR51+AR75+AR99</f>
        <v/>
      </c>
      <c r="AS27" s="2821" t="n"/>
      <c r="AT27" s="2822" t="n"/>
      <c r="AU27" s="2821" t="n"/>
      <c r="AV27" s="2821">
        <f>AV51+AV75+AV99</f>
        <v/>
      </c>
      <c r="AW27" s="2821" t="n"/>
      <c r="AX27" s="2822" t="n"/>
      <c r="AY27" s="2821" t="n"/>
      <c r="AZ27" s="2821">
        <f>SUM(C27:AW27)</f>
        <v/>
      </c>
      <c r="BA27" s="2821" t="n"/>
    </row>
    <row r="28" spans="1:55">
      <c r="A28" s="2821" t="s">
        <v>189</v>
      </c>
      <c r="B28" s="2822" t="n"/>
      <c r="C28" s="2823" t="n"/>
      <c r="D28" s="2821">
        <f>D52+D76+D100</f>
        <v/>
      </c>
      <c r="E28" s="2821" t="n"/>
      <c r="F28" s="2822" t="n"/>
      <c r="G28" s="2821" t="n"/>
      <c r="H28" s="2821">
        <f>H52+H76+H100</f>
        <v/>
      </c>
      <c r="I28" s="2821" t="n"/>
      <c r="J28" s="2822" t="n"/>
      <c r="K28" s="2821" t="n"/>
      <c r="L28" s="2821">
        <f>L52+L76+L100</f>
        <v/>
      </c>
      <c r="M28" s="2821" t="n"/>
      <c r="N28" s="2818" t="n"/>
      <c r="O28" s="2821" t="n"/>
      <c r="P28" s="2821">
        <f>P52+P76+P100</f>
        <v/>
      </c>
      <c r="Q28" s="2821" t="n"/>
      <c r="R28" s="2822" t="n"/>
      <c r="S28" s="2821" t="n"/>
      <c r="T28" s="2821">
        <f>T52+T76+T100</f>
        <v/>
      </c>
      <c r="U28" s="2821" t="n"/>
      <c r="V28" s="2818" t="n"/>
      <c r="W28" s="2821" t="n"/>
      <c r="X28" s="2821">
        <f>X52+X76+X100</f>
        <v/>
      </c>
      <c r="Y28" s="2821" t="n"/>
      <c r="Z28" s="2818" t="n"/>
      <c r="AA28" s="2821" t="n"/>
      <c r="AB28" s="2821">
        <f>AB52+AB76+AB100</f>
        <v/>
      </c>
      <c r="AC28" s="2821" t="n"/>
      <c r="AD28" s="2818" t="n"/>
      <c r="AE28" s="2821" t="n"/>
      <c r="AF28" s="2821">
        <f>AF52+AF76+AF100</f>
        <v/>
      </c>
      <c r="AG28" s="2821" t="n"/>
      <c r="AH28" s="2818" t="n"/>
      <c r="AI28" s="2821" t="n"/>
      <c r="AJ28" s="2821">
        <f>AJ52+AJ76+AJ100</f>
        <v/>
      </c>
      <c r="AK28" s="2821" t="n"/>
      <c r="AL28" s="2822" t="n"/>
      <c r="AM28" s="2821" t="n"/>
      <c r="AN28" s="2821">
        <f>AN52+AN76+AN100</f>
        <v/>
      </c>
      <c r="AO28" s="2821" t="n"/>
      <c r="AP28" s="2822" t="n"/>
      <c r="AQ28" s="2821" t="n"/>
      <c r="AR28" s="2821">
        <f>AR52+AR76+AR100</f>
        <v/>
      </c>
      <c r="AS28" s="2821" t="n"/>
      <c r="AT28" s="2822" t="n"/>
      <c r="AU28" s="2821" t="n"/>
      <c r="AV28" s="2821">
        <f>AV52+AV76+AV100</f>
        <v/>
      </c>
      <c r="AW28" s="2823" t="n"/>
      <c r="AX28" s="2822" t="n"/>
      <c r="AY28" s="2823" t="n"/>
      <c r="AZ28" s="2821">
        <f>SUM(C28:AW28)</f>
        <v/>
      </c>
      <c r="BA28" s="2823" t="n"/>
    </row>
    <row r="29" spans="1:55">
      <c r="A29" s="2821" t="s">
        <v>252</v>
      </c>
      <c r="B29" s="2822" t="n"/>
      <c r="C29" s="2823" t="n"/>
      <c r="D29" s="2821">
        <f>D53+D77+D101</f>
        <v/>
      </c>
      <c r="E29" s="2821" t="n"/>
      <c r="F29" s="2822" t="n"/>
      <c r="G29" s="2821" t="n"/>
      <c r="H29" s="2821">
        <f>H53+H77+H101</f>
        <v/>
      </c>
      <c r="I29" s="2821" t="n"/>
      <c r="J29" s="2822" t="n"/>
      <c r="K29" s="2821" t="n"/>
      <c r="L29" s="2821">
        <f>L53+L77+L101</f>
        <v/>
      </c>
      <c r="M29" s="2821" t="n"/>
      <c r="N29" s="2818" t="n"/>
      <c r="O29" s="2821" t="n"/>
      <c r="P29" s="2821">
        <f>P53+P77+P101</f>
        <v/>
      </c>
      <c r="Q29" s="2821" t="n"/>
      <c r="R29" s="2822" t="n"/>
      <c r="S29" s="2821" t="n"/>
      <c r="T29" s="2821">
        <f>T53+T77+T101</f>
        <v/>
      </c>
      <c r="U29" s="2821" t="n"/>
      <c r="V29" s="2818" t="n"/>
      <c r="W29" s="2821" t="n"/>
      <c r="X29" s="2821">
        <f>X53+X77+X101</f>
        <v/>
      </c>
      <c r="Y29" s="2821" t="n"/>
      <c r="Z29" s="2818" t="n"/>
      <c r="AA29" s="2821" t="n"/>
      <c r="AB29" s="2821">
        <f>AB53+AB77+AB101</f>
        <v/>
      </c>
      <c r="AC29" s="2821" t="n"/>
      <c r="AD29" s="2818" t="n"/>
      <c r="AE29" s="2821" t="n"/>
      <c r="AF29" s="2821">
        <f>AF53+AF77+AF101</f>
        <v/>
      </c>
      <c r="AG29" s="2821" t="n"/>
      <c r="AH29" s="2818" t="n"/>
      <c r="AI29" s="2821" t="n"/>
      <c r="AJ29" s="2821">
        <f>AJ53+AJ77+AJ101</f>
        <v/>
      </c>
      <c r="AK29" s="2821" t="n"/>
      <c r="AL29" s="2822" t="n"/>
      <c r="AM29" s="2821" t="n"/>
      <c r="AN29" s="2821">
        <f>AN53+AN77+AN101</f>
        <v/>
      </c>
      <c r="AO29" s="2821" t="n"/>
      <c r="AP29" s="2822" t="n"/>
      <c r="AQ29" s="2821" t="n"/>
      <c r="AR29" s="2821">
        <f>AR53+AR77+AR101</f>
        <v/>
      </c>
      <c r="AS29" s="2821" t="n"/>
      <c r="AT29" s="2822" t="n"/>
      <c r="AU29" s="2821" t="n"/>
      <c r="AV29" s="2821">
        <f>AV53+AV77+AV101</f>
        <v/>
      </c>
      <c r="AW29" s="2823" t="n"/>
      <c r="AX29" s="2822" t="n"/>
      <c r="AY29" s="2823" t="n"/>
      <c r="AZ29" s="2821">
        <f>SUM(C29:AW29)</f>
        <v/>
      </c>
      <c r="BA29" s="2823" t="n"/>
    </row>
    <row r="30" spans="1:55">
      <c r="A30" s="2821" t="s">
        <v>191</v>
      </c>
      <c r="B30" s="2822" t="n"/>
      <c r="C30" s="2823" t="n"/>
      <c r="D30" s="2821">
        <f>D54+D78+D102</f>
        <v/>
      </c>
      <c r="E30" s="2821" t="n"/>
      <c r="F30" s="2822" t="n"/>
      <c r="G30" s="2821" t="n"/>
      <c r="H30" s="2821">
        <f>H54+H78+H102</f>
        <v/>
      </c>
      <c r="I30" s="2821" t="n"/>
      <c r="J30" s="2822" t="n"/>
      <c r="K30" s="2821" t="n"/>
      <c r="L30" s="2821">
        <f>L54+L78+L102</f>
        <v/>
      </c>
      <c r="M30" s="2821" t="n"/>
      <c r="N30" s="2818" t="n"/>
      <c r="O30" s="2821" t="n"/>
      <c r="P30" s="2821">
        <f>P54+P78+P102</f>
        <v/>
      </c>
      <c r="Q30" s="2821" t="n"/>
      <c r="R30" s="2822" t="n"/>
      <c r="S30" s="2821" t="n"/>
      <c r="T30" s="2821">
        <f>T54+T78+T102</f>
        <v/>
      </c>
      <c r="U30" s="2821" t="n"/>
      <c r="V30" s="2818" t="n"/>
      <c r="W30" s="2821" t="n"/>
      <c r="X30" s="2821">
        <f>X54+X78+X102</f>
        <v/>
      </c>
      <c r="Y30" s="2821" t="n"/>
      <c r="Z30" s="2818" t="n"/>
      <c r="AA30" s="2821" t="n"/>
      <c r="AB30" s="2821">
        <f>AB54+AB78+AB102</f>
        <v/>
      </c>
      <c r="AC30" s="2821" t="n"/>
      <c r="AD30" s="2818" t="n"/>
      <c r="AE30" s="2821" t="n"/>
      <c r="AF30" s="2821">
        <f>AF54+AF78+AF102</f>
        <v/>
      </c>
      <c r="AG30" s="2821" t="n"/>
      <c r="AH30" s="2818" t="n"/>
      <c r="AI30" s="2821" t="n"/>
      <c r="AJ30" s="2821">
        <f>AJ54+AJ78+AJ102</f>
        <v/>
      </c>
      <c r="AK30" s="2821" t="n"/>
      <c r="AL30" s="2822" t="n"/>
      <c r="AM30" s="2821" t="n"/>
      <c r="AN30" s="2821">
        <f>AN54+AN78+AN102</f>
        <v/>
      </c>
      <c r="AO30" s="2821" t="n"/>
      <c r="AP30" s="2822" t="n"/>
      <c r="AQ30" s="2821" t="n"/>
      <c r="AR30" s="2821">
        <f>AR54+AR78+AR102</f>
        <v/>
      </c>
      <c r="AS30" s="2821" t="n"/>
      <c r="AT30" s="2822" t="n"/>
      <c r="AU30" s="2821" t="n"/>
      <c r="AV30" s="2821">
        <f>AV54+AV78+AV102</f>
        <v/>
      </c>
      <c r="AW30" s="2823" t="n"/>
      <c r="AX30" s="2822" t="n"/>
      <c r="AY30" s="2823" t="n"/>
      <c r="AZ30" s="2821">
        <f>SUM(C30:AW30)</f>
        <v/>
      </c>
      <c r="BA30" s="2823" t="n"/>
    </row>
    <row r="31" spans="1:55">
      <c r="A31" s="2821" t="s">
        <v>192</v>
      </c>
      <c r="B31" s="2822" t="n"/>
      <c r="C31" s="2823" t="n"/>
      <c r="D31" s="2821">
        <f>D55+D79+D103</f>
        <v/>
      </c>
      <c r="E31" s="2821" t="n"/>
      <c r="F31" s="2822" t="n"/>
      <c r="G31" s="2821" t="n"/>
      <c r="H31" s="2821">
        <f>H55+H79+H103</f>
        <v/>
      </c>
      <c r="I31" s="2821" t="n"/>
      <c r="J31" s="2822" t="n"/>
      <c r="K31" s="2821" t="n"/>
      <c r="L31" s="2821">
        <f>L55+L79+L103</f>
        <v/>
      </c>
      <c r="M31" s="2821" t="n"/>
      <c r="N31" s="2818" t="n"/>
      <c r="O31" s="2821" t="n"/>
      <c r="P31" s="2821">
        <f>P55+P79+P103</f>
        <v/>
      </c>
      <c r="Q31" s="2821" t="n"/>
      <c r="R31" s="2822" t="n"/>
      <c r="S31" s="2821" t="n"/>
      <c r="T31" s="2821">
        <f>T55+T79+T103</f>
        <v/>
      </c>
      <c r="U31" s="2821" t="n"/>
      <c r="V31" s="2818" t="n"/>
      <c r="W31" s="2821" t="n"/>
      <c r="X31" s="2821">
        <f>X55+X79+X103</f>
        <v/>
      </c>
      <c r="Y31" s="2821" t="n"/>
      <c r="Z31" s="2818" t="n"/>
      <c r="AA31" s="2821" t="n"/>
      <c r="AB31" s="2821">
        <f>AB55+AB79+AB103</f>
        <v/>
      </c>
      <c r="AC31" s="2821" t="n"/>
      <c r="AD31" s="2818" t="n"/>
      <c r="AE31" s="2821" t="n"/>
      <c r="AF31" s="2821">
        <f>AF55+AF79+AF103</f>
        <v/>
      </c>
      <c r="AG31" s="2821" t="n"/>
      <c r="AH31" s="2818" t="n"/>
      <c r="AI31" s="2821" t="n"/>
      <c r="AJ31" s="2821">
        <f>AJ55+AJ79+AJ103</f>
        <v/>
      </c>
      <c r="AK31" s="2821" t="n"/>
      <c r="AL31" s="2822" t="n"/>
      <c r="AM31" s="2821" t="n"/>
      <c r="AN31" s="2821">
        <f>AN55+AN79+AN103</f>
        <v/>
      </c>
      <c r="AO31" s="2821" t="n"/>
      <c r="AP31" s="2822" t="n"/>
      <c r="AQ31" s="2821" t="n"/>
      <c r="AR31" s="2821">
        <f>AR55+AR79+AR103</f>
        <v/>
      </c>
      <c r="AS31" s="2821" t="n"/>
      <c r="AT31" s="2822" t="n"/>
      <c r="AU31" s="2821" t="n"/>
      <c r="AV31" s="2821">
        <f>AV55+AV79+AV103</f>
        <v/>
      </c>
      <c r="AW31" s="2823" t="n"/>
      <c r="AX31" s="2822" t="n"/>
      <c r="AY31" s="2823" t="n"/>
      <c r="AZ31" s="2821">
        <f>SUM(C31:AW31)</f>
        <v/>
      </c>
      <c r="BA31" s="2823" t="n"/>
    </row>
    <row r="32" spans="1:55">
      <c r="A32" s="2821" t="s">
        <v>194</v>
      </c>
      <c r="B32" s="2822" t="n"/>
      <c r="C32" s="2823" t="n"/>
      <c r="D32" s="2821">
        <f>D56+D80+D104</f>
        <v/>
      </c>
      <c r="E32" s="2821" t="n"/>
      <c r="F32" s="2822" t="n"/>
      <c r="G32" s="2821" t="n"/>
      <c r="H32" s="2821">
        <f>H56+H80+H104</f>
        <v/>
      </c>
      <c r="I32" s="2821" t="n"/>
      <c r="J32" s="2822" t="n"/>
      <c r="K32" s="2821" t="n"/>
      <c r="L32" s="2821">
        <f>L56+L80+L104</f>
        <v/>
      </c>
      <c r="M32" s="2821" t="n"/>
      <c r="N32" s="2818" t="n"/>
      <c r="O32" s="2821" t="n"/>
      <c r="P32" s="2821">
        <f>P56+P80+P104</f>
        <v/>
      </c>
      <c r="Q32" s="2821" t="n"/>
      <c r="R32" s="2822" t="n"/>
      <c r="S32" s="2821" t="n"/>
      <c r="T32" s="2821">
        <f>T56+T80+T104</f>
        <v/>
      </c>
      <c r="U32" s="2821" t="n"/>
      <c r="V32" s="2818" t="n"/>
      <c r="W32" s="2821" t="n"/>
      <c r="X32" s="2821">
        <f>X56+X80+X104</f>
        <v/>
      </c>
      <c r="Y32" s="2821" t="n"/>
      <c r="Z32" s="2818" t="n"/>
      <c r="AA32" s="2821" t="n"/>
      <c r="AB32" s="2821">
        <f>AB56+AB80+AB104</f>
        <v/>
      </c>
      <c r="AC32" s="2821" t="n"/>
      <c r="AD32" s="2818" t="n"/>
      <c r="AE32" s="2821" t="n"/>
      <c r="AF32" s="2821">
        <f>AF56+AF80+AF104</f>
        <v/>
      </c>
      <c r="AG32" s="2821" t="n"/>
      <c r="AH32" s="2818" t="n"/>
      <c r="AI32" s="2821" t="n"/>
      <c r="AJ32" s="2821">
        <f>AJ56+AJ80+AJ104</f>
        <v/>
      </c>
      <c r="AK32" s="2821" t="n"/>
      <c r="AL32" s="2822" t="n"/>
      <c r="AM32" s="2821" t="n"/>
      <c r="AN32" s="2821">
        <f>AN56+AN80+AN104</f>
        <v/>
      </c>
      <c r="AO32" s="2821" t="n"/>
      <c r="AP32" s="2822" t="n"/>
      <c r="AQ32" s="2821" t="n"/>
      <c r="AR32" s="2821">
        <f>AR56+AR80+AR104</f>
        <v/>
      </c>
      <c r="AS32" s="2821" t="n"/>
      <c r="AT32" s="2822" t="n"/>
      <c r="AU32" s="2821" t="n"/>
      <c r="AV32" s="2821">
        <f>AV56+AV80+AV104</f>
        <v/>
      </c>
      <c r="AW32" s="2823" t="n"/>
      <c r="AX32" s="2822" t="n"/>
      <c r="AY32" s="2823" t="n"/>
      <c r="AZ32" s="2821">
        <f>SUM(C32:AW32)</f>
        <v/>
      </c>
      <c r="BA32" s="2823" t="n"/>
    </row>
    <row r="33" spans="1:55">
      <c r="A33" s="2821" t="s">
        <v>195</v>
      </c>
      <c r="B33" s="2822" t="n"/>
      <c r="C33" s="2821" t="n"/>
      <c r="D33" s="2821">
        <f>D57+D81+D105</f>
        <v/>
      </c>
      <c r="E33" s="2821" t="n"/>
      <c r="F33" s="2822" t="n"/>
      <c r="G33" s="2821" t="n"/>
      <c r="H33" s="2821">
        <f>H57+H81+H105</f>
        <v/>
      </c>
      <c r="I33" s="2821" t="n"/>
      <c r="J33" s="2822" t="n"/>
      <c r="K33" s="2821" t="n"/>
      <c r="L33" s="2821">
        <f>L57+L81+L105</f>
        <v/>
      </c>
      <c r="M33" s="2821" t="n"/>
      <c r="N33" s="2818" t="n"/>
      <c r="O33" s="2821" t="n"/>
      <c r="P33" s="2821">
        <f>P57+P81+P105</f>
        <v/>
      </c>
      <c r="Q33" s="2821" t="n"/>
      <c r="R33" s="2822" t="n"/>
      <c r="S33" s="2821" t="n"/>
      <c r="T33" s="2821">
        <f>T57+T81+T105</f>
        <v/>
      </c>
      <c r="U33" s="2821" t="n"/>
      <c r="V33" s="2818" t="n"/>
      <c r="W33" s="2821" t="n"/>
      <c r="X33" s="2821">
        <f>X57+X81+X105</f>
        <v/>
      </c>
      <c r="Y33" s="2821" t="n"/>
      <c r="Z33" s="2818" t="n"/>
      <c r="AA33" s="2821" t="n"/>
      <c r="AB33" s="2821">
        <f>AB57+AB81+AB105</f>
        <v/>
      </c>
      <c r="AC33" s="2821" t="n"/>
      <c r="AD33" s="2818" t="n"/>
      <c r="AE33" s="2821" t="n"/>
      <c r="AF33" s="2821">
        <f>AF57+AF81+AF105</f>
        <v/>
      </c>
      <c r="AG33" s="2821" t="n"/>
      <c r="AH33" s="2818" t="n"/>
      <c r="AI33" s="2821" t="n"/>
      <c r="AJ33" s="2821">
        <f>AJ57+AJ81+AJ105</f>
        <v/>
      </c>
      <c r="AK33" s="2821" t="n"/>
      <c r="AL33" s="2822" t="n"/>
      <c r="AM33" s="2821" t="n"/>
      <c r="AN33" s="2821">
        <f>AN57+AN81+AN105</f>
        <v/>
      </c>
      <c r="AO33" s="2821" t="n"/>
      <c r="AP33" s="2822" t="n"/>
      <c r="AQ33" s="2821" t="n"/>
      <c r="AR33" s="2821">
        <f>AR57+AR81+AR105</f>
        <v/>
      </c>
      <c r="AS33" s="2821" t="n"/>
      <c r="AT33" s="2822" t="n"/>
      <c r="AU33" s="2821" t="n"/>
      <c r="AV33" s="2821">
        <f>AV57+AV81+AV105</f>
        <v/>
      </c>
      <c r="AW33" s="2821" t="n"/>
      <c r="AX33" s="2822" t="n"/>
      <c r="AY33" s="2821" t="n"/>
      <c r="AZ33" s="2821">
        <f>SUM(C33:AW33)</f>
        <v/>
      </c>
      <c r="BA33" s="2821" t="n"/>
    </row>
    <row r="34" spans="1:55">
      <c r="A34" s="2794" t="s">
        <v>366</v>
      </c>
      <c r="B34" s="2793" t="n"/>
      <c r="C34" s="2794" t="n"/>
      <c r="D34" s="2794">
        <f>D58+D82+D106</f>
        <v/>
      </c>
      <c r="E34" s="2794" t="n"/>
      <c r="F34" s="2793" t="n"/>
      <c r="G34" s="2794" t="n"/>
      <c r="H34" s="2794">
        <f>H58+H82+H106</f>
        <v/>
      </c>
      <c r="I34" s="2794" t="n"/>
      <c r="J34" s="2793" t="n"/>
      <c r="K34" s="2794" t="n"/>
      <c r="L34" s="2794">
        <f>L58+L82+L106</f>
        <v/>
      </c>
      <c r="M34" s="2794" t="n"/>
      <c r="N34" s="2795" t="n"/>
      <c r="O34" s="2794" t="n"/>
      <c r="P34" s="2794">
        <f>P58+P82+P106</f>
        <v/>
      </c>
      <c r="Q34" s="2794" t="n"/>
      <c r="R34" s="2793" t="n"/>
      <c r="S34" s="2794" t="n"/>
      <c r="T34" s="2794">
        <f>T58+T82+T106</f>
        <v/>
      </c>
      <c r="U34" s="2794" t="n"/>
      <c r="V34" s="2795" t="n"/>
      <c r="W34" s="2794" t="n"/>
      <c r="X34" s="2794">
        <f>X58+X82+X106</f>
        <v/>
      </c>
      <c r="Y34" s="2794" t="n"/>
      <c r="Z34" s="2795" t="n"/>
      <c r="AA34" s="2794" t="n"/>
      <c r="AB34" s="2794">
        <f>AB58+AB82+AB106</f>
        <v/>
      </c>
      <c r="AC34" s="2794" t="n"/>
      <c r="AD34" s="2795" t="n"/>
      <c r="AE34" s="2794" t="n"/>
      <c r="AF34" s="2794">
        <f>AF58+AF82+AF106</f>
        <v/>
      </c>
      <c r="AG34" s="2794" t="n"/>
      <c r="AH34" s="2795" t="n"/>
      <c r="AI34" s="2794" t="n"/>
      <c r="AJ34" s="2794">
        <f>AJ58+AJ82+AJ106</f>
        <v/>
      </c>
      <c r="AK34" s="2794" t="n"/>
      <c r="AL34" s="2793" t="n"/>
      <c r="AM34" s="2794" t="n"/>
      <c r="AN34" s="2794">
        <f>AN58+AN82+AN106</f>
        <v/>
      </c>
      <c r="AO34" s="2794" t="n"/>
      <c r="AP34" s="2793" t="n"/>
      <c r="AQ34" s="2794" t="n"/>
      <c r="AR34" s="2794">
        <f>AR58+AR82+AR106</f>
        <v/>
      </c>
      <c r="AS34" s="2794" t="n"/>
      <c r="AT34" s="2793" t="n"/>
      <c r="AU34" s="2794" t="n"/>
      <c r="AV34" s="2794">
        <f>AV58+AV82+AV106</f>
        <v/>
      </c>
      <c r="AW34" s="2794" t="n"/>
      <c r="AX34" s="2793" t="n"/>
      <c r="AY34" s="2794" t="n"/>
      <c r="AZ34" s="2792">
        <f>SUM(C34:AW34)</f>
        <v/>
      </c>
      <c r="BA34" s="2794" t="n"/>
    </row>
    <row r="35" spans="1:55">
      <c r="A35" s="2821" t="s">
        <v>161</v>
      </c>
      <c r="B35" s="2822" t="n"/>
      <c r="C35" s="2823" t="n"/>
      <c r="D35" s="2821">
        <f>D59+D83+D107</f>
        <v/>
      </c>
      <c r="E35" s="2821" t="n"/>
      <c r="F35" s="2822" t="n"/>
      <c r="G35" s="2821" t="n"/>
      <c r="H35" s="2821">
        <f>H59+H83+H107</f>
        <v/>
      </c>
      <c r="I35" s="2821" t="n"/>
      <c r="J35" s="2822" t="n"/>
      <c r="K35" s="2821" t="n"/>
      <c r="L35" s="2821">
        <f>L59+L83+L107</f>
        <v/>
      </c>
      <c r="M35" s="2821" t="n"/>
      <c r="N35" s="2818" t="n"/>
      <c r="O35" s="2821" t="n"/>
      <c r="P35" s="2821">
        <f>P59+P83+P107</f>
        <v/>
      </c>
      <c r="Q35" s="2821" t="n"/>
      <c r="R35" s="2822" t="n"/>
      <c r="S35" s="2821" t="n"/>
      <c r="T35" s="2821">
        <f>T59+T83+T107</f>
        <v/>
      </c>
      <c r="U35" s="2821" t="n"/>
      <c r="V35" s="2818" t="n"/>
      <c r="W35" s="2821" t="n"/>
      <c r="X35" s="2821">
        <f>X59+X83+X107</f>
        <v/>
      </c>
      <c r="Y35" s="2821" t="n"/>
      <c r="Z35" s="2818" t="n"/>
      <c r="AA35" s="2821" t="n"/>
      <c r="AB35" s="2821">
        <f>AB59+AB83+AB107</f>
        <v/>
      </c>
      <c r="AC35" s="2821" t="n"/>
      <c r="AD35" s="2818" t="n"/>
      <c r="AE35" s="2821" t="n"/>
      <c r="AF35" s="2821">
        <f>AF59+AF83+AF107</f>
        <v/>
      </c>
      <c r="AG35" s="2821" t="n"/>
      <c r="AH35" s="2818" t="n"/>
      <c r="AI35" s="2821" t="n"/>
      <c r="AJ35" s="2821">
        <f>AJ59+AJ83+AJ107</f>
        <v/>
      </c>
      <c r="AK35" s="2821" t="n"/>
      <c r="AL35" s="2822" t="n"/>
      <c r="AM35" s="2821" t="n"/>
      <c r="AN35" s="2821">
        <f>AN59+AN83+AN107</f>
        <v/>
      </c>
      <c r="AO35" s="2821" t="n"/>
      <c r="AP35" s="2822" t="n"/>
      <c r="AQ35" s="2821" t="n"/>
      <c r="AR35" s="2821">
        <f>AR59+AR83+AR107</f>
        <v/>
      </c>
      <c r="AS35" s="2821" t="n"/>
      <c r="AT35" s="2822" t="n"/>
      <c r="AU35" s="2821" t="n"/>
      <c r="AV35" s="2821">
        <f>AV59+AV83+AV107</f>
        <v/>
      </c>
      <c r="AW35" s="2823" t="n"/>
      <c r="AX35" s="2822" t="n"/>
      <c r="AY35" s="2823" t="n"/>
      <c r="AZ35" s="2821">
        <f>SUM(C35:AW35)</f>
        <v/>
      </c>
      <c r="BA35" s="2823" t="n"/>
    </row>
    <row r="36" spans="1:55">
      <c r="A36" s="2824" t="s">
        <v>367</v>
      </c>
      <c r="B36" s="2822" t="n"/>
      <c r="C36" s="2823" t="n"/>
      <c r="D36" s="2821">
        <f>D60+D84+D108</f>
        <v/>
      </c>
      <c r="E36" s="2821" t="n"/>
      <c r="F36" s="2822" t="n"/>
      <c r="G36" s="2821" t="n"/>
      <c r="H36" s="2821">
        <f>H60+H84+H108</f>
        <v/>
      </c>
      <c r="I36" s="2821" t="n"/>
      <c r="J36" s="2822" t="n"/>
      <c r="K36" s="2821" t="n"/>
      <c r="L36" s="2821">
        <f>L60+L84+L108</f>
        <v/>
      </c>
      <c r="M36" s="2821" t="n"/>
      <c r="N36" s="2818" t="n"/>
      <c r="O36" s="2821" t="n"/>
      <c r="P36" s="2821">
        <f>P60+P84+P108</f>
        <v/>
      </c>
      <c r="Q36" s="2821" t="n"/>
      <c r="R36" s="2822" t="n"/>
      <c r="S36" s="2821" t="n"/>
      <c r="T36" s="2821">
        <f>T60+T84+T108</f>
        <v/>
      </c>
      <c r="U36" s="2821" t="n"/>
      <c r="V36" s="2818" t="n"/>
      <c r="W36" s="2821" t="n"/>
      <c r="X36" s="2821">
        <f>X60+X84+X108</f>
        <v/>
      </c>
      <c r="Y36" s="2821" t="n"/>
      <c r="Z36" s="2818" t="n"/>
      <c r="AA36" s="2821" t="n"/>
      <c r="AB36" s="2821">
        <f>AB60+AB84+AB108</f>
        <v/>
      </c>
      <c r="AC36" s="2821" t="n"/>
      <c r="AD36" s="2818" t="n"/>
      <c r="AE36" s="2821" t="n"/>
      <c r="AF36" s="2821">
        <f>AF60+AF84+AF108</f>
        <v/>
      </c>
      <c r="AG36" s="2821" t="n"/>
      <c r="AH36" s="2818" t="n"/>
      <c r="AI36" s="2821" t="n"/>
      <c r="AJ36" s="2821">
        <f>AJ60+AJ84+AJ108</f>
        <v/>
      </c>
      <c r="AK36" s="2821" t="n"/>
      <c r="AL36" s="2822" t="n"/>
      <c r="AM36" s="2821" t="n"/>
      <c r="AN36" s="2821">
        <f>AN60+AN84+AN108</f>
        <v/>
      </c>
      <c r="AO36" s="2821" t="n"/>
      <c r="AP36" s="2822" t="n"/>
      <c r="AQ36" s="2821" t="n"/>
      <c r="AR36" s="2821">
        <f>AR60+AR84+AR108</f>
        <v/>
      </c>
      <c r="AS36" s="2821" t="n"/>
      <c r="AT36" s="2822" t="n"/>
      <c r="AU36" s="2821" t="n"/>
      <c r="AV36" s="2821">
        <f>AV60+AV84+AV108</f>
        <v/>
      </c>
      <c r="AW36" s="2823" t="n"/>
      <c r="AX36" s="2822" t="n"/>
      <c r="AY36" s="2823" t="n"/>
      <c r="AZ36" s="2821">
        <f>SUM(C36:AW36)</f>
        <v/>
      </c>
      <c r="BA36" s="2823" t="n"/>
    </row>
    <row r="37" spans="1:55">
      <c r="A37" s="2821" t="s">
        <v>232</v>
      </c>
      <c r="B37" s="2822" t="n"/>
      <c r="C37" s="2821" t="n"/>
      <c r="D37" s="2821">
        <f>D61+D85+D109</f>
        <v/>
      </c>
      <c r="E37" s="2821" t="n"/>
      <c r="F37" s="2822" t="n"/>
      <c r="G37" s="2821" t="n"/>
      <c r="H37" s="2821">
        <f>H61+H85+H109</f>
        <v/>
      </c>
      <c r="I37" s="2821" t="n"/>
      <c r="J37" s="2822" t="n"/>
      <c r="K37" s="2821" t="n"/>
      <c r="L37" s="2821">
        <f>L61+L85+L109</f>
        <v/>
      </c>
      <c r="M37" s="2821" t="n"/>
      <c r="N37" s="2818" t="n"/>
      <c r="O37" s="2821" t="n"/>
      <c r="P37" s="2821">
        <f>P61+P85+P109</f>
        <v/>
      </c>
      <c r="Q37" s="2821" t="n"/>
      <c r="R37" s="2822" t="n"/>
      <c r="S37" s="2821" t="n"/>
      <c r="T37" s="2821">
        <f>T61+T85+T109</f>
        <v/>
      </c>
      <c r="U37" s="2821" t="n"/>
      <c r="V37" s="2818" t="n"/>
      <c r="W37" s="2821" t="n"/>
      <c r="X37" s="2821">
        <f>X61+X85+X109</f>
        <v/>
      </c>
      <c r="Y37" s="2821" t="n"/>
      <c r="Z37" s="2818" t="n"/>
      <c r="AA37" s="2821" t="n"/>
      <c r="AB37" s="2821">
        <f>AB61+AB85+AB109</f>
        <v/>
      </c>
      <c r="AC37" s="2821" t="n"/>
      <c r="AD37" s="2818" t="n"/>
      <c r="AE37" s="2821" t="n"/>
      <c r="AF37" s="2821">
        <f>AF61+AF85+AF109</f>
        <v/>
      </c>
      <c r="AG37" s="2821" t="n"/>
      <c r="AH37" s="2818" t="n"/>
      <c r="AI37" s="2821" t="n"/>
      <c r="AJ37" s="2821">
        <f>AJ61+AJ85+AJ109</f>
        <v/>
      </c>
      <c r="AK37" s="2821" t="n"/>
      <c r="AL37" s="2822" t="n"/>
      <c r="AM37" s="2821" t="n"/>
      <c r="AN37" s="2821">
        <f>AN61+AN85+AN109</f>
        <v/>
      </c>
      <c r="AO37" s="2821" t="n"/>
      <c r="AP37" s="2822" t="n"/>
      <c r="AQ37" s="2821" t="n"/>
      <c r="AR37" s="2821">
        <f>AR61+AR85+AR109</f>
        <v/>
      </c>
      <c r="AS37" s="2821" t="n"/>
      <c r="AT37" s="2822" t="n"/>
      <c r="AU37" s="2821" t="n"/>
      <c r="AV37" s="2821">
        <f>AV61+AV85+AV109</f>
        <v/>
      </c>
      <c r="AW37" s="2821" t="n"/>
      <c r="AX37" s="2822" t="n"/>
      <c r="AY37" s="2821" t="n"/>
      <c r="AZ37" s="2821">
        <f>SUM(C37:AW37)</f>
        <v/>
      </c>
      <c r="BA37" s="2821" t="n"/>
    </row>
    <row customFormat="1" r="38" s="2216" spans="1:55">
      <c r="A38" s="2825" t="s">
        <v>233</v>
      </c>
      <c r="B38" s="2822" t="n"/>
      <c r="C38" s="2825" t="n"/>
      <c r="D38" s="2821">
        <f>D62+D86+D110</f>
        <v/>
      </c>
      <c r="E38" s="2821" t="n"/>
      <c r="F38" s="2822" t="n"/>
      <c r="G38" s="2821" t="n"/>
      <c r="H38" s="2821">
        <f>H62+H86+H110</f>
        <v/>
      </c>
      <c r="I38" s="2821" t="n"/>
      <c r="J38" s="2822" t="n"/>
      <c r="K38" s="2821" t="n"/>
      <c r="L38" s="2821">
        <f>L62+L86+L110</f>
        <v/>
      </c>
      <c r="M38" s="2821" t="n"/>
      <c r="N38" s="2818" t="n"/>
      <c r="O38" s="2821" t="n"/>
      <c r="P38" s="2821">
        <f>P62+P86+P110</f>
        <v/>
      </c>
      <c r="Q38" s="2821" t="n"/>
      <c r="R38" s="2822" t="n"/>
      <c r="S38" s="2821" t="n"/>
      <c r="T38" s="2821">
        <f>T62+T86+T110</f>
        <v/>
      </c>
      <c r="U38" s="2821" t="n"/>
      <c r="V38" s="2818" t="n"/>
      <c r="W38" s="2821" t="n"/>
      <c r="X38" s="2821">
        <f>X62+X86+X110</f>
        <v/>
      </c>
      <c r="Y38" s="2821" t="n"/>
      <c r="Z38" s="2818" t="n"/>
      <c r="AA38" s="2821" t="n"/>
      <c r="AB38" s="2821">
        <f>AB62+AB86+AB110</f>
        <v/>
      </c>
      <c r="AC38" s="2821" t="n"/>
      <c r="AD38" s="2818" t="n"/>
      <c r="AE38" s="2821" t="n"/>
      <c r="AF38" s="2821">
        <f>AF62+AF86+AF110</f>
        <v/>
      </c>
      <c r="AG38" s="2821" t="n"/>
      <c r="AH38" s="2818" t="n"/>
      <c r="AI38" s="2821" t="n"/>
      <c r="AJ38" s="2821">
        <f>AJ62+AJ86+AJ110</f>
        <v/>
      </c>
      <c r="AK38" s="2821" t="n"/>
      <c r="AL38" s="2822" t="n"/>
      <c r="AM38" s="2821" t="n"/>
      <c r="AN38" s="2821">
        <f>AN62+AN86+AN110</f>
        <v/>
      </c>
      <c r="AO38" s="2821" t="n"/>
      <c r="AP38" s="2822" t="n"/>
      <c r="AQ38" s="2821" t="n"/>
      <c r="AR38" s="2821">
        <f>AR62+AR86+AR110</f>
        <v/>
      </c>
      <c r="AS38" s="2821" t="n"/>
      <c r="AT38" s="2822" t="n"/>
      <c r="AU38" s="2821" t="n"/>
      <c r="AV38" s="2821">
        <f>AV62+AV86+AV110</f>
        <v/>
      </c>
      <c r="AW38" s="2825" t="n"/>
      <c r="AX38" s="2822" t="n"/>
      <c r="AY38" s="2825" t="n"/>
      <c r="AZ38" s="2821">
        <f>SUM(C38:AW38)</f>
        <v/>
      </c>
      <c r="BA38" s="2825" t="n"/>
    </row>
    <row customFormat="1" r="39" s="2216" spans="1:55">
      <c r="A39" s="2825" t="s">
        <v>368</v>
      </c>
      <c r="B39" s="2822" t="n"/>
      <c r="C39" s="2825" t="n"/>
      <c r="D39" s="2821">
        <f>D63+D87+D111</f>
        <v/>
      </c>
      <c r="E39" s="2821" t="n"/>
      <c r="F39" s="2822" t="n"/>
      <c r="G39" s="2821" t="n"/>
      <c r="H39" s="2821">
        <f>H63+H87+H111</f>
        <v/>
      </c>
      <c r="I39" s="2821" t="n"/>
      <c r="J39" s="2822" t="n"/>
      <c r="K39" s="2821" t="n"/>
      <c r="L39" s="2821">
        <f>L63+L87+L111</f>
        <v/>
      </c>
      <c r="M39" s="2821" t="n"/>
      <c r="N39" s="2818" t="n"/>
      <c r="O39" s="2821" t="n"/>
      <c r="P39" s="2821">
        <f>P63+P87+P111</f>
        <v/>
      </c>
      <c r="Q39" s="2821" t="n"/>
      <c r="R39" s="2822" t="n"/>
      <c r="S39" s="2821" t="n"/>
      <c r="T39" s="2821">
        <f>T63+T87+T111</f>
        <v/>
      </c>
      <c r="U39" s="2821" t="n"/>
      <c r="V39" s="2818" t="n"/>
      <c r="W39" s="2821" t="n"/>
      <c r="X39" s="2821">
        <f>X63+X87+X111</f>
        <v/>
      </c>
      <c r="Y39" s="2821" t="n"/>
      <c r="Z39" s="2818" t="n"/>
      <c r="AA39" s="2821" t="n"/>
      <c r="AB39" s="2821">
        <f>AB63+AB87+AB111</f>
        <v/>
      </c>
      <c r="AC39" s="2821" t="n"/>
      <c r="AD39" s="2818" t="n"/>
      <c r="AE39" s="2821" t="n"/>
      <c r="AF39" s="2821">
        <f>AF63+AF87+AF111</f>
        <v/>
      </c>
      <c r="AG39" s="2821" t="n"/>
      <c r="AH39" s="2818" t="n"/>
      <c r="AI39" s="2821" t="n"/>
      <c r="AJ39" s="2821">
        <f>AJ63+AJ87+AJ111</f>
        <v/>
      </c>
      <c r="AK39" s="2821" t="n"/>
      <c r="AL39" s="2822" t="n"/>
      <c r="AM39" s="2821" t="n"/>
      <c r="AN39" s="2821">
        <f>AN63+AN87+AN111</f>
        <v/>
      </c>
      <c r="AO39" s="2821" t="n"/>
      <c r="AP39" s="2822" t="n"/>
      <c r="AQ39" s="2821" t="n"/>
      <c r="AR39" s="2821">
        <f>AR63+AR87+AR111</f>
        <v/>
      </c>
      <c r="AS39" s="2821" t="n"/>
      <c r="AT39" s="2822" t="n"/>
      <c r="AU39" s="2821" t="n"/>
      <c r="AV39" s="2821">
        <f>AV63+AV87+AV111</f>
        <v/>
      </c>
      <c r="AW39" s="2825" t="n"/>
      <c r="AX39" s="2822" t="n"/>
      <c r="AY39" s="2825" t="n"/>
      <c r="AZ39" s="2821">
        <f>SUM(C39:AW39)</f>
        <v/>
      </c>
      <c r="BA39" s="2825" t="n"/>
    </row>
    <row r="40" spans="1:55">
      <c r="A40" s="2824" t="s">
        <v>369</v>
      </c>
      <c r="B40" s="2822" t="n"/>
      <c r="C40" s="2823" t="n"/>
      <c r="D40" s="2821">
        <f>D64+D88+D112</f>
        <v/>
      </c>
      <c r="E40" s="2821" t="n"/>
      <c r="F40" s="2822" t="n"/>
      <c r="G40" s="2821" t="n"/>
      <c r="H40" s="2821">
        <f>H64+H88+H112</f>
        <v/>
      </c>
      <c r="I40" s="2821" t="n"/>
      <c r="J40" s="2822" t="n"/>
      <c r="K40" s="2821" t="n"/>
      <c r="L40" s="2821">
        <f>L64+L88+L112</f>
        <v/>
      </c>
      <c r="M40" s="2821" t="n"/>
      <c r="N40" s="2818" t="n"/>
      <c r="O40" s="2821" t="n"/>
      <c r="P40" s="2821">
        <f>P64+P88+P112</f>
        <v/>
      </c>
      <c r="Q40" s="2821" t="n"/>
      <c r="R40" s="2822" t="n"/>
      <c r="S40" s="2821" t="n"/>
      <c r="T40" s="2821">
        <f>T64+T88+T112</f>
        <v/>
      </c>
      <c r="U40" s="2821" t="n"/>
      <c r="V40" s="2818" t="n"/>
      <c r="W40" s="2821" t="n"/>
      <c r="X40" s="2821">
        <f>X64+X88+X112</f>
        <v/>
      </c>
      <c r="Y40" s="2821" t="n"/>
      <c r="Z40" s="2818" t="n"/>
      <c r="AA40" s="2821" t="n"/>
      <c r="AB40" s="2821">
        <f>AB64+AB88+AB112</f>
        <v/>
      </c>
      <c r="AC40" s="2821" t="n"/>
      <c r="AD40" s="2818" t="n"/>
      <c r="AE40" s="2821" t="n"/>
      <c r="AF40" s="2821">
        <f>AF64+AF88+AF112</f>
        <v/>
      </c>
      <c r="AG40" s="2821" t="n"/>
      <c r="AH40" s="2818" t="n"/>
      <c r="AI40" s="2821" t="n"/>
      <c r="AJ40" s="2821">
        <f>AJ64+AJ88+AJ112</f>
        <v/>
      </c>
      <c r="AK40" s="2821" t="n"/>
      <c r="AL40" s="2822" t="n"/>
      <c r="AM40" s="2821" t="n"/>
      <c r="AN40" s="2821">
        <f>AN64+AN88+AN112</f>
        <v/>
      </c>
      <c r="AO40" s="2821" t="n"/>
      <c r="AP40" s="2822" t="n"/>
      <c r="AQ40" s="2821" t="n"/>
      <c r="AR40" s="2821">
        <f>AR64+AR88+AR112</f>
        <v/>
      </c>
      <c r="AS40" s="2821" t="n"/>
      <c r="AT40" s="2822" t="n"/>
      <c r="AU40" s="2821" t="n"/>
      <c r="AV40" s="2821">
        <f>AV64+AV88+AV112</f>
        <v/>
      </c>
      <c r="AW40" s="2823" t="n"/>
      <c r="AX40" s="2822" t="n"/>
      <c r="AY40" s="2823" t="n"/>
      <c r="AZ40" s="2821">
        <f>SUM(C40:AW40)</f>
        <v/>
      </c>
      <c r="BA40" s="2823" t="n"/>
    </row>
    <row r="41" spans="1:55">
      <c r="A41" s="2824" t="s">
        <v>370</v>
      </c>
      <c r="B41" s="2822" t="n"/>
      <c r="C41" s="2823" t="n"/>
      <c r="D41" s="2821">
        <f>D65+D89+D113</f>
        <v/>
      </c>
      <c r="E41" s="2821" t="n"/>
      <c r="F41" s="2822" t="n"/>
      <c r="G41" s="2821" t="n"/>
      <c r="H41" s="2821">
        <f>H65+H89+H113</f>
        <v/>
      </c>
      <c r="I41" s="2821" t="n"/>
      <c r="J41" s="2822" t="n"/>
      <c r="K41" s="2821" t="n"/>
      <c r="L41" s="2821">
        <f>L65+L89+L113</f>
        <v/>
      </c>
      <c r="M41" s="2821" t="n"/>
      <c r="N41" s="2818" t="n"/>
      <c r="O41" s="2821" t="n"/>
      <c r="P41" s="2821">
        <f>P65+P89+P113</f>
        <v/>
      </c>
      <c r="Q41" s="2821" t="n"/>
      <c r="R41" s="2822" t="n"/>
      <c r="S41" s="2821" t="n"/>
      <c r="T41" s="2821">
        <f>T65+T89+T113</f>
        <v/>
      </c>
      <c r="U41" s="2821" t="n"/>
      <c r="V41" s="2818" t="n"/>
      <c r="W41" s="2821" t="n"/>
      <c r="X41" s="2821">
        <f>X65+X89+X113</f>
        <v/>
      </c>
      <c r="Y41" s="2821" t="n"/>
      <c r="Z41" s="2818" t="n"/>
      <c r="AA41" s="2821" t="n"/>
      <c r="AB41" s="2821">
        <f>AB65+AB89+AB113</f>
        <v/>
      </c>
      <c r="AC41" s="2821" t="n"/>
      <c r="AD41" s="2818" t="n"/>
      <c r="AE41" s="2821" t="n"/>
      <c r="AF41" s="2821">
        <f>AF65+AF89+AF113</f>
        <v/>
      </c>
      <c r="AG41" s="2821" t="n"/>
      <c r="AH41" s="2818" t="n"/>
      <c r="AI41" s="2821" t="n"/>
      <c r="AJ41" s="2821">
        <f>AJ65+AJ89+AJ113</f>
        <v/>
      </c>
      <c r="AK41" s="2821" t="n"/>
      <c r="AL41" s="2822" t="n"/>
      <c r="AM41" s="2821" t="n"/>
      <c r="AN41" s="2821">
        <f>AN65+AN89+AN113</f>
        <v/>
      </c>
      <c r="AO41" s="2821" t="n"/>
      <c r="AP41" s="2822" t="n"/>
      <c r="AQ41" s="2821" t="n"/>
      <c r="AR41" s="2821">
        <f>AR65+AR89+AR113</f>
        <v/>
      </c>
      <c r="AS41" s="2821" t="n"/>
      <c r="AT41" s="2822" t="n"/>
      <c r="AU41" s="2821" t="n"/>
      <c r="AV41" s="2821">
        <f>AV65+AV89+AV113</f>
        <v/>
      </c>
      <c r="AW41" s="2823" t="n"/>
      <c r="AX41" s="2822" t="n"/>
      <c r="AY41" s="2823" t="n"/>
      <c r="AZ41" s="2821">
        <f>SUM(C41:AW41)</f>
        <v/>
      </c>
      <c r="BA41" s="2823" t="n"/>
    </row>
    <row r="42" spans="1:55">
      <c r="A42" s="2824" t="s">
        <v>371</v>
      </c>
      <c r="B42" s="2822" t="n"/>
      <c r="C42" s="2823" t="n"/>
      <c r="D42" s="2821">
        <f>D66+D90+D114</f>
        <v/>
      </c>
      <c r="E42" s="2821" t="n"/>
      <c r="F42" s="2822" t="n"/>
      <c r="G42" s="2821" t="n"/>
      <c r="H42" s="2821">
        <f>H66+H90+H114</f>
        <v/>
      </c>
      <c r="I42" s="2821" t="n"/>
      <c r="J42" s="2822" t="n"/>
      <c r="K42" s="2821" t="n"/>
      <c r="L42" s="2821">
        <f>L66+L90+L114</f>
        <v/>
      </c>
      <c r="M42" s="2821" t="n"/>
      <c r="N42" s="2818" t="n"/>
      <c r="O42" s="2821" t="n"/>
      <c r="P42" s="2821">
        <f>P66+P90+P114</f>
        <v/>
      </c>
      <c r="Q42" s="2821" t="n"/>
      <c r="R42" s="2822" t="n"/>
      <c r="S42" s="2821" t="n"/>
      <c r="T42" s="2821">
        <f>T66+T90+T114</f>
        <v/>
      </c>
      <c r="U42" s="2821" t="n"/>
      <c r="V42" s="2818" t="n"/>
      <c r="W42" s="2821" t="n"/>
      <c r="X42" s="2821">
        <f>X66+X90+X114</f>
        <v/>
      </c>
      <c r="Y42" s="2821" t="n"/>
      <c r="Z42" s="2818" t="n"/>
      <c r="AA42" s="2821" t="n"/>
      <c r="AB42" s="2821">
        <f>AB66+AB90+AB114</f>
        <v/>
      </c>
      <c r="AC42" s="2821" t="n"/>
      <c r="AD42" s="2818" t="n"/>
      <c r="AE42" s="2821" t="n"/>
      <c r="AF42" s="2821">
        <f>AF66+AF90+AF114</f>
        <v/>
      </c>
      <c r="AG42" s="2821" t="n"/>
      <c r="AH42" s="2818" t="n"/>
      <c r="AI42" s="2821" t="n"/>
      <c r="AJ42" s="2821">
        <f>AJ66+AJ90+AJ114</f>
        <v/>
      </c>
      <c r="AK42" s="2821" t="n"/>
      <c r="AL42" s="2822" t="n"/>
      <c r="AM42" s="2821" t="n"/>
      <c r="AN42" s="2821">
        <f>AN66+AN90+AN114</f>
        <v/>
      </c>
      <c r="AO42" s="2821" t="n"/>
      <c r="AP42" s="2822" t="n"/>
      <c r="AQ42" s="2821" t="n"/>
      <c r="AR42" s="2821">
        <f>AR66+AR90+AR114</f>
        <v/>
      </c>
      <c r="AS42" s="2821" t="n"/>
      <c r="AT42" s="2822" t="n"/>
      <c r="AU42" s="2821" t="n"/>
      <c r="AV42" s="2821">
        <f>AV66+AV90+AV114</f>
        <v/>
      </c>
      <c r="AW42" s="2823" t="n"/>
      <c r="AX42" s="2822" t="n"/>
      <c r="AY42" s="2823" t="n"/>
      <c r="AZ42" s="2821">
        <f>SUM(C42:AW42)</f>
        <v/>
      </c>
      <c r="BA42" s="2823" t="n"/>
    </row>
    <row r="43" spans="1:55">
      <c r="A43" s="2824" t="s">
        <v>372</v>
      </c>
      <c r="B43" s="2822" t="n"/>
      <c r="C43" s="2823" t="n"/>
      <c r="D43" s="2821">
        <f>D67+D91+D115</f>
        <v/>
      </c>
      <c r="E43" s="2821" t="n"/>
      <c r="F43" s="2822" t="n"/>
      <c r="G43" s="2821" t="n"/>
      <c r="H43" s="2821">
        <f>H67+H91+H115</f>
        <v/>
      </c>
      <c r="I43" s="2821" t="n"/>
      <c r="J43" s="2822" t="n"/>
      <c r="K43" s="2821" t="n"/>
      <c r="L43" s="2821">
        <f>L67+L91+L115</f>
        <v/>
      </c>
      <c r="M43" s="2821" t="n"/>
      <c r="N43" s="2818" t="n"/>
      <c r="O43" s="2821" t="n"/>
      <c r="P43" s="2821">
        <f>P67+P91+P115</f>
        <v/>
      </c>
      <c r="Q43" s="2821" t="n"/>
      <c r="R43" s="2822" t="n"/>
      <c r="S43" s="2821" t="n"/>
      <c r="T43" s="2821">
        <f>T67+T91+T115</f>
        <v/>
      </c>
      <c r="U43" s="2821" t="n"/>
      <c r="V43" s="2818" t="n"/>
      <c r="W43" s="2821" t="n"/>
      <c r="X43" s="2821">
        <f>X67+X91+X115</f>
        <v/>
      </c>
      <c r="Y43" s="2821" t="n"/>
      <c r="Z43" s="2818" t="n"/>
      <c r="AA43" s="2821" t="n"/>
      <c r="AB43" s="2821">
        <f>AB67+AB91+AB115</f>
        <v/>
      </c>
      <c r="AC43" s="2821" t="n"/>
      <c r="AD43" s="2818" t="n"/>
      <c r="AE43" s="2821" t="n"/>
      <c r="AF43" s="2821">
        <f>AF67+AF91+AF115</f>
        <v/>
      </c>
      <c r="AG43" s="2821" t="n"/>
      <c r="AH43" s="2818" t="n"/>
      <c r="AI43" s="2821" t="n"/>
      <c r="AJ43" s="2821">
        <f>AJ67+AJ91+AJ115</f>
        <v/>
      </c>
      <c r="AK43" s="2821" t="n"/>
      <c r="AL43" s="2822" t="n"/>
      <c r="AM43" s="2821" t="n"/>
      <c r="AN43" s="2821">
        <f>AN67+AN91+AN115</f>
        <v/>
      </c>
      <c r="AO43" s="2821" t="n"/>
      <c r="AP43" s="2822" t="n"/>
      <c r="AQ43" s="2821" t="n"/>
      <c r="AR43" s="2821">
        <f>AR67+AR91+AR115</f>
        <v/>
      </c>
      <c r="AS43" s="2821" t="n"/>
      <c r="AT43" s="2822" t="n"/>
      <c r="AU43" s="2821" t="n"/>
      <c r="AV43" s="2821">
        <f>AV67+AV91+AV115</f>
        <v/>
      </c>
      <c r="AW43" s="2823" t="n"/>
      <c r="AX43" s="2822" t="n"/>
      <c r="AY43" s="2823" t="n"/>
      <c r="AZ43" s="2821">
        <f>SUM(C43:AW43)</f>
        <v/>
      </c>
      <c r="BA43" s="2823" t="n"/>
    </row>
    <row r="44" spans="1:55">
      <c r="A44" s="2826" t="s">
        <v>89</v>
      </c>
      <c r="B44" s="2822" t="n"/>
      <c r="C44" s="2821">
        <f>C68+C92+C116</f>
        <v/>
      </c>
      <c r="D44" s="2821" t="n"/>
      <c r="E44" s="2821" t="n"/>
      <c r="F44" s="2822" t="n"/>
      <c r="G44" s="2821">
        <f>G68+G92+G116</f>
        <v/>
      </c>
      <c r="H44" s="2821" t="n"/>
      <c r="I44" s="2821" t="n"/>
      <c r="J44" s="2822" t="n"/>
      <c r="K44" s="2821">
        <f>K68+K92+K116</f>
        <v/>
      </c>
      <c r="L44" s="2821" t="n"/>
      <c r="M44" s="2821" t="n"/>
      <c r="N44" s="2818" t="n"/>
      <c r="O44" s="2821">
        <f>O68+O92+O116</f>
        <v/>
      </c>
      <c r="P44" s="2821" t="n"/>
      <c r="Q44" s="2821" t="n"/>
      <c r="R44" s="2822" t="n"/>
      <c r="S44" s="2821">
        <f>S68+S92+S116</f>
        <v/>
      </c>
      <c r="T44" s="2821" t="n"/>
      <c r="U44" s="2821" t="n"/>
      <c r="V44" s="2818" t="n"/>
      <c r="W44" s="2821">
        <f>W68+W92+W116</f>
        <v/>
      </c>
      <c r="X44" s="2821" t="n"/>
      <c r="Y44" s="2821" t="n"/>
      <c r="Z44" s="2818" t="n"/>
      <c r="AA44" s="2821">
        <f>AA68+AA92+AA116</f>
        <v/>
      </c>
      <c r="AB44" s="2821" t="n"/>
      <c r="AC44" s="2821" t="n"/>
      <c r="AD44" s="2818" t="n"/>
      <c r="AE44" s="2821">
        <f>AE68+AE92+AE116</f>
        <v/>
      </c>
      <c r="AF44" s="2821" t="n"/>
      <c r="AG44" s="2821" t="n"/>
      <c r="AH44" s="2818" t="n"/>
      <c r="AI44" s="2821">
        <f>AI68+AI92+AI116</f>
        <v/>
      </c>
      <c r="AJ44" s="2821" t="n"/>
      <c r="AK44" s="2821" t="n"/>
      <c r="AL44" s="2822" t="n"/>
      <c r="AM44" s="2821">
        <f>AM68+AM92+AM116</f>
        <v/>
      </c>
      <c r="AN44" s="2821" t="n"/>
      <c r="AO44" s="2821" t="n"/>
      <c r="AP44" s="2822" t="n"/>
      <c r="AQ44" s="2821">
        <f>AQ68+AQ92+AQ116</f>
        <v/>
      </c>
      <c r="AR44" s="2821" t="n"/>
      <c r="AS44" s="2821" t="n"/>
      <c r="AT44" s="2822" t="n"/>
      <c r="AU44" s="2821">
        <f>AU68+AU92+AU116</f>
        <v/>
      </c>
      <c r="AV44" s="2821" t="n"/>
      <c r="AW44" s="2821" t="n"/>
      <c r="AX44" s="2822" t="n"/>
      <c r="AY44" s="2821">
        <f>SUM(B44:AV44)</f>
        <v/>
      </c>
      <c r="AZ44" s="2821" t="n"/>
      <c r="BA44" s="2821" t="n"/>
    </row>
    <row r="45" spans="1:55">
      <c r="A45" s="2826" t="s">
        <v>153</v>
      </c>
      <c r="B45" s="2822" t="n"/>
      <c r="C45" s="2821" t="n"/>
      <c r="D45" s="2821" t="n"/>
      <c r="E45" s="2821">
        <f>SUM(C27:C45)-SUM(D27:D45)</f>
        <v/>
      </c>
      <c r="F45" s="2822" t="n"/>
      <c r="G45" s="2821" t="n"/>
      <c r="H45" s="2821" t="n"/>
      <c r="I45" s="2821">
        <f>SUM(G27:G45)-SUM(H27:H45)</f>
        <v/>
      </c>
      <c r="J45" s="2822" t="n"/>
      <c r="K45" s="2821" t="n"/>
      <c r="L45" s="2821" t="n"/>
      <c r="M45" s="2821">
        <f>SUM(K27:K45)-SUM(L27:L45)</f>
        <v/>
      </c>
      <c r="N45" s="2818" t="n"/>
      <c r="O45" s="2821" t="n"/>
      <c r="P45" s="2821" t="n"/>
      <c r="Q45" s="2821">
        <f>SUM(O27:O45)-SUM(P27:P45)</f>
        <v/>
      </c>
      <c r="R45" s="2822" t="n"/>
      <c r="S45" s="2821" t="n"/>
      <c r="T45" s="2821" t="n"/>
      <c r="U45" s="2821">
        <f>SUM(S27:S45)-SUM(T27:T45)</f>
        <v/>
      </c>
      <c r="V45" s="2818" t="n"/>
      <c r="W45" s="2821" t="n"/>
      <c r="X45" s="2821" t="n"/>
      <c r="Y45" s="2821">
        <f>SUM(W27:W45)-SUM(X27:X45)</f>
        <v/>
      </c>
      <c r="Z45" s="2818" t="n"/>
      <c r="AA45" s="2821" t="n"/>
      <c r="AB45" s="2821" t="n"/>
      <c r="AC45" s="2821">
        <f>SUM(AA27:AA45)-SUM(AB27:AB45)</f>
        <v/>
      </c>
      <c r="AD45" s="2818" t="n"/>
      <c r="AE45" s="2821" t="n"/>
      <c r="AF45" s="2821" t="n"/>
      <c r="AG45" s="2821">
        <f>SUM(AE27:AE45)-SUM(AF27:AF45)</f>
        <v/>
      </c>
      <c r="AH45" s="2818" t="n"/>
      <c r="AI45" s="2821" t="n"/>
      <c r="AJ45" s="2821" t="n"/>
      <c r="AK45" s="2821">
        <f>SUM(AI27:AI45)-SUM(AJ27:AJ45)</f>
        <v/>
      </c>
      <c r="AL45" s="2822" t="n"/>
      <c r="AM45" s="2821" t="n"/>
      <c r="AN45" s="2821" t="n"/>
      <c r="AO45" s="2821">
        <f>SUM(AM27:AM45)-SUM(AN27:AN45)</f>
        <v/>
      </c>
      <c r="AP45" s="2822" t="n"/>
      <c r="AQ45" s="2821" t="n"/>
      <c r="AR45" s="2821" t="n"/>
      <c r="AS45" s="2821">
        <f>SUM(AQ27:AQ45)-SUM(AR27:AR45)</f>
        <v/>
      </c>
      <c r="AT45" s="2822" t="n"/>
      <c r="AU45" s="2821" t="n"/>
      <c r="AV45" s="2821" t="n"/>
      <c r="AW45" s="2821">
        <f>SUM(AU27:AU45)-SUM(AV27:AV45)</f>
        <v/>
      </c>
      <c r="AX45" s="2822" t="n"/>
      <c r="AY45" s="2821" t="n"/>
      <c r="AZ45" s="2821" t="n"/>
      <c r="BA45" s="2821">
        <f>SUM(D45:AY45)</f>
        <v/>
      </c>
    </row>
    <row customFormat="1" r="46" s="2802" spans="1:55">
      <c r="A46" s="2827" t="s">
        <v>173</v>
      </c>
      <c r="B46" s="2828" t="n"/>
      <c r="C46" s="2829">
        <f>SUM(C27:C45)</f>
        <v/>
      </c>
      <c r="D46" s="2829">
        <f>SUM(D27:D45)</f>
        <v/>
      </c>
      <c r="E46" s="2829">
        <f>SUM(E45:E45)</f>
        <v/>
      </c>
      <c r="F46" s="2828" t="n"/>
      <c r="G46" s="2829">
        <f>SUM(G27:G45)</f>
        <v/>
      </c>
      <c r="H46" s="2829">
        <f>SUM(H27:H45)</f>
        <v/>
      </c>
      <c r="I46" s="2829">
        <f>SUM(I45:I45)</f>
        <v/>
      </c>
      <c r="J46" s="2828" t="n"/>
      <c r="K46" s="2829">
        <f>SUM(K27:K45)</f>
        <v/>
      </c>
      <c r="L46" s="2829">
        <f>SUM(L27:L45)</f>
        <v/>
      </c>
      <c r="M46" s="2829">
        <f>SUM(M45:M45)</f>
        <v/>
      </c>
      <c r="N46" s="2830" t="n"/>
      <c r="O46" s="2829">
        <f>SUM(O27:O45)</f>
        <v/>
      </c>
      <c r="P46" s="2829">
        <f>SUM(P27:P45)</f>
        <v/>
      </c>
      <c r="Q46" s="2829">
        <f>SUM(Q45:Q45)</f>
        <v/>
      </c>
      <c r="R46" s="2828" t="n"/>
      <c r="S46" s="2829">
        <f>SUM(S27:S45)</f>
        <v/>
      </c>
      <c r="T46" s="2829">
        <f>SUM(T27:T45)</f>
        <v/>
      </c>
      <c r="U46" s="2829">
        <f>SUM(U45:U45)</f>
        <v/>
      </c>
      <c r="V46" s="2830" t="n"/>
      <c r="W46" s="2829">
        <f>SUM(W27:W45)</f>
        <v/>
      </c>
      <c r="X46" s="2829">
        <f>SUM(X27:X45)</f>
        <v/>
      </c>
      <c r="Y46" s="2829">
        <f>SUM(Y45:Y45)</f>
        <v/>
      </c>
      <c r="Z46" s="2830" t="n"/>
      <c r="AA46" s="2829">
        <f>SUM(AA27:AA45)</f>
        <v/>
      </c>
      <c r="AB46" s="2829">
        <f>SUM(AB27:AB45)</f>
        <v/>
      </c>
      <c r="AC46" s="2829">
        <f>SUM(AC45:AC45)</f>
        <v/>
      </c>
      <c r="AD46" s="2830" t="n"/>
      <c r="AE46" s="2829">
        <f>SUM(AE27:AE45)</f>
        <v/>
      </c>
      <c r="AF46" s="2829">
        <f>SUM(AF27:AF45)</f>
        <v/>
      </c>
      <c r="AG46" s="2829">
        <f>SUM(AG45:AG45)</f>
        <v/>
      </c>
      <c r="AH46" s="2830" t="n"/>
      <c r="AI46" s="2829">
        <f>SUM(AI27:AI45)</f>
        <v/>
      </c>
      <c r="AJ46" s="2829">
        <f>SUM(AJ27:AJ45)</f>
        <v/>
      </c>
      <c r="AK46" s="2829">
        <f>SUM(AK45:AK45)</f>
        <v/>
      </c>
      <c r="AL46" s="2828" t="n"/>
      <c r="AM46" s="2829">
        <f>SUM(AM27:AM45)</f>
        <v/>
      </c>
      <c r="AN46" s="2829">
        <f>SUM(AN27:AN45)</f>
        <v/>
      </c>
      <c r="AO46" s="2829">
        <f>SUM(AO45:AO45)</f>
        <v/>
      </c>
      <c r="AP46" s="2828" t="n"/>
      <c r="AQ46" s="2829">
        <f>SUM(AQ27:AQ45)</f>
        <v/>
      </c>
      <c r="AR46" s="2829">
        <f>SUM(AR27:AR45)</f>
        <v/>
      </c>
      <c r="AS46" s="2829">
        <f>SUM(AS45:AS45)</f>
        <v/>
      </c>
      <c r="AT46" s="2828" t="n"/>
      <c r="AU46" s="2829">
        <f>SUM(AU27:AU45)</f>
        <v/>
      </c>
      <c r="AV46" s="2829">
        <f>SUM(AV27:AV45)</f>
        <v/>
      </c>
      <c r="AW46" s="2829">
        <f>SUM(AW45:AW45)</f>
        <v/>
      </c>
      <c r="AX46" s="2828" t="n"/>
      <c r="AY46" s="2827">
        <f>SUM(AY27:AY45)</f>
        <v/>
      </c>
      <c r="AZ46" s="2827">
        <f>SUM(AZ27:AZ45)</f>
        <v/>
      </c>
      <c r="BA46" s="2827">
        <f>SUM(BA45:BA45)</f>
        <v/>
      </c>
    </row>
    <row customFormat="1" r="47" s="2808" spans="1:55">
      <c r="A47" s="2827" t="s">
        <v>375</v>
      </c>
      <c r="B47" s="2828" t="n"/>
      <c r="C47" s="2831" t="n"/>
      <c r="D47" s="2829" t="n"/>
      <c r="E47" s="2832">
        <f>E46/C46</f>
        <v/>
      </c>
      <c r="F47" s="2828" t="n"/>
      <c r="G47" s="2829" t="n"/>
      <c r="H47" s="2829" t="n"/>
      <c r="I47" s="2832">
        <f>I46/G46</f>
        <v/>
      </c>
      <c r="J47" s="2828" t="n"/>
      <c r="K47" s="2829" t="n"/>
      <c r="L47" s="2829" t="n"/>
      <c r="M47" s="2832">
        <f>M46/K46</f>
        <v/>
      </c>
      <c r="N47" s="2833" t="n"/>
      <c r="O47" s="2829" t="n"/>
      <c r="P47" s="2829" t="n"/>
      <c r="Q47" s="2832">
        <f>Q46/O46</f>
        <v/>
      </c>
      <c r="R47" s="2828" t="n"/>
      <c r="S47" s="2829" t="n"/>
      <c r="T47" s="2829" t="n"/>
      <c r="U47" s="2832">
        <f>U46/S46</f>
        <v/>
      </c>
      <c r="V47" s="2833" t="n"/>
      <c r="W47" s="2829" t="n"/>
      <c r="X47" s="2829" t="n"/>
      <c r="Y47" s="2832">
        <f>Y46/W46</f>
        <v/>
      </c>
      <c r="Z47" s="2833" t="n"/>
      <c r="AA47" s="2829" t="n"/>
      <c r="AB47" s="2829" t="n"/>
      <c r="AC47" s="2832">
        <f>AC46/AA46</f>
        <v/>
      </c>
      <c r="AD47" s="2833" t="n"/>
      <c r="AE47" s="2829" t="n"/>
      <c r="AF47" s="2829" t="n"/>
      <c r="AG47" s="2832">
        <f>AG46/AE46</f>
        <v/>
      </c>
      <c r="AH47" s="2833" t="n"/>
      <c r="AI47" s="2829" t="n"/>
      <c r="AJ47" s="2829" t="n"/>
      <c r="AK47" s="2832">
        <f>AK46/AI46</f>
        <v/>
      </c>
      <c r="AL47" s="2828" t="n"/>
      <c r="AM47" s="2829" t="n"/>
      <c r="AN47" s="2829" t="n"/>
      <c r="AO47" s="2832">
        <f>AO46/AM46</f>
        <v/>
      </c>
      <c r="AP47" s="2828" t="n"/>
      <c r="AQ47" s="2829" t="n"/>
      <c r="AR47" s="2829" t="n"/>
      <c r="AS47" s="2832">
        <f>AS46/AQ46</f>
        <v/>
      </c>
      <c r="AT47" s="2828" t="n"/>
      <c r="AU47" s="2829" t="n"/>
      <c r="AV47" s="2829" t="n"/>
      <c r="AW47" s="2832">
        <f>AW46/AU46</f>
        <v/>
      </c>
      <c r="AX47" s="2828" t="n"/>
      <c r="AY47" s="2827" t="n"/>
      <c r="AZ47" s="2827" t="n"/>
      <c r="BA47" s="2832">
        <f>BA46/AY46</f>
        <v/>
      </c>
    </row>
    <row customFormat="1" r="48" s="2808" spans="1:55">
      <c r="A48" s="2834" t="n"/>
      <c r="B48" s="2806" t="n"/>
      <c r="C48" s="2835" t="n"/>
      <c r="E48" s="2836" t="n"/>
      <c r="F48" s="2806" t="n"/>
      <c r="I48" s="2836" t="n"/>
      <c r="J48" s="2806" t="n"/>
      <c r="M48" s="2836" t="n"/>
      <c r="Q48" s="2836" t="n"/>
      <c r="R48" s="2806" t="n"/>
      <c r="U48" s="2836" t="n"/>
      <c r="Y48" s="2836" t="n"/>
      <c r="AC48" s="2836" t="n"/>
      <c r="AG48" s="2836" t="n"/>
      <c r="AK48" s="2836" t="n"/>
      <c r="AL48" s="2806" t="n"/>
      <c r="AO48" s="2836" t="n"/>
      <c r="AP48" s="2806" t="n"/>
      <c r="AS48" s="2836" t="n"/>
      <c r="AT48" s="2806" t="n"/>
      <c r="AW48" s="2836" t="n"/>
      <c r="AX48" s="2806" t="n"/>
      <c r="AY48" s="2806" t="n"/>
      <c r="AZ48" s="2806" t="n"/>
      <c r="BA48" s="2836" t="n"/>
    </row>
    <row customFormat="1" outlineLevel="1" r="49" s="2808" spans="1:55">
      <c r="A49" s="2837" t="s">
        <v>376</v>
      </c>
      <c r="B49" s="2781" t="n"/>
      <c r="C49" s="2838" t="s">
        <v>62</v>
      </c>
      <c r="F49" s="2781" t="n"/>
      <c r="G49" s="2838" t="s">
        <v>63</v>
      </c>
      <c r="J49" s="2781" t="n"/>
      <c r="K49" s="2838" t="s">
        <v>64</v>
      </c>
      <c r="N49" s="2839" t="n"/>
      <c r="O49" s="2838" t="s">
        <v>174</v>
      </c>
      <c r="R49" s="2781" t="n"/>
      <c r="S49" s="2838" t="s">
        <v>66</v>
      </c>
      <c r="V49" s="2839" t="n"/>
      <c r="W49" s="2838" t="s">
        <v>67</v>
      </c>
      <c r="Z49" s="2839" t="n"/>
      <c r="AA49" s="2838" t="s">
        <v>69</v>
      </c>
      <c r="AD49" s="2839" t="n"/>
      <c r="AE49" s="2838" t="s">
        <v>70</v>
      </c>
      <c r="AH49" s="2839" t="n"/>
      <c r="AI49" s="2838" t="s">
        <v>71</v>
      </c>
      <c r="AL49" s="2781" t="n"/>
      <c r="AM49" s="2838" t="s">
        <v>72</v>
      </c>
      <c r="AP49" s="2781" t="n"/>
      <c r="AQ49" s="2838" t="s">
        <v>73</v>
      </c>
      <c r="AT49" s="2781" t="n"/>
      <c r="AU49" s="2838" t="s">
        <v>74</v>
      </c>
      <c r="AX49" s="2781" t="n"/>
      <c r="AY49" s="2838" t="s">
        <v>173</v>
      </c>
    </row>
    <row customFormat="1" outlineLevel="1" r="50" s="2808" spans="1:55">
      <c r="A50" s="2840" t="n"/>
      <c r="B50" s="2785" t="n"/>
      <c r="C50" s="2840" t="s">
        <v>89</v>
      </c>
      <c r="D50" s="2840" t="s">
        <v>152</v>
      </c>
      <c r="E50" s="2840" t="s">
        <v>153</v>
      </c>
      <c r="F50" s="2785" t="n"/>
      <c r="G50" s="2840" t="s">
        <v>89</v>
      </c>
      <c r="H50" s="2840" t="s">
        <v>152</v>
      </c>
      <c r="I50" s="2840" t="s">
        <v>153</v>
      </c>
      <c r="J50" s="2785" t="n"/>
      <c r="K50" s="2840" t="s">
        <v>89</v>
      </c>
      <c r="L50" s="2840" t="s">
        <v>152</v>
      </c>
      <c r="M50" s="2840" t="s">
        <v>153</v>
      </c>
      <c r="N50" s="2839" t="n"/>
      <c r="O50" s="2840" t="s">
        <v>89</v>
      </c>
      <c r="P50" s="2840" t="s">
        <v>152</v>
      </c>
      <c r="Q50" s="2840" t="s">
        <v>153</v>
      </c>
      <c r="R50" s="2785" t="n"/>
      <c r="S50" s="2840" t="s">
        <v>89</v>
      </c>
      <c r="T50" s="2840" t="s">
        <v>152</v>
      </c>
      <c r="U50" s="2840" t="s">
        <v>153</v>
      </c>
      <c r="V50" s="2839" t="n"/>
      <c r="W50" s="2840" t="s">
        <v>89</v>
      </c>
      <c r="X50" s="2840" t="s">
        <v>152</v>
      </c>
      <c r="Y50" s="2840" t="s">
        <v>153</v>
      </c>
      <c r="Z50" s="2839" t="n"/>
      <c r="AA50" s="2840" t="s">
        <v>89</v>
      </c>
      <c r="AB50" s="2840" t="s">
        <v>152</v>
      </c>
      <c r="AC50" s="2840" t="s">
        <v>153</v>
      </c>
      <c r="AD50" s="2839" t="n"/>
      <c r="AE50" s="2840" t="s">
        <v>89</v>
      </c>
      <c r="AF50" s="2840" t="s">
        <v>152</v>
      </c>
      <c r="AG50" s="2840" t="s">
        <v>153</v>
      </c>
      <c r="AH50" s="2839" t="n"/>
      <c r="AI50" s="2840" t="s">
        <v>89</v>
      </c>
      <c r="AJ50" s="2840" t="s">
        <v>152</v>
      </c>
      <c r="AK50" s="2840" t="s">
        <v>153</v>
      </c>
      <c r="AL50" s="2785" t="n"/>
      <c r="AM50" s="2840" t="s">
        <v>89</v>
      </c>
      <c r="AN50" s="2840" t="s">
        <v>152</v>
      </c>
      <c r="AO50" s="2840" t="s">
        <v>153</v>
      </c>
      <c r="AP50" s="2785" t="n"/>
      <c r="AQ50" s="2840" t="s">
        <v>89</v>
      </c>
      <c r="AR50" s="2840" t="s">
        <v>152</v>
      </c>
      <c r="AS50" s="2840" t="s">
        <v>153</v>
      </c>
      <c r="AT50" s="2785" t="n"/>
      <c r="AU50" s="2840" t="s">
        <v>89</v>
      </c>
      <c r="AV50" s="2840" t="s">
        <v>152</v>
      </c>
      <c r="AW50" s="2840" t="s">
        <v>153</v>
      </c>
      <c r="AX50" s="2785" t="n"/>
      <c r="AY50" s="2840" t="s">
        <v>89</v>
      </c>
      <c r="AZ50" s="2840" t="s">
        <v>152</v>
      </c>
      <c r="BA50" s="2840" t="s">
        <v>153</v>
      </c>
    </row>
    <row customFormat="1" outlineLevel="1" r="51" s="2808" spans="1:55">
      <c r="A51" s="2841" t="s">
        <v>187</v>
      </c>
      <c r="B51" s="2789" t="n"/>
      <c r="C51" s="2842" t="n"/>
      <c r="D51" s="2842">
        <f>' SET Cost(staf+OS)'!D69/1000</f>
        <v/>
      </c>
      <c r="E51" s="2842" t="n"/>
      <c r="F51" s="2789" t="n"/>
      <c r="G51" s="2842" t="n"/>
      <c r="H51" s="2842">
        <f>' SET Cost(staf+OS)'!E69/1000</f>
        <v/>
      </c>
      <c r="I51" s="2842" t="n"/>
      <c r="J51" s="2789" t="n"/>
      <c r="K51" s="2842" t="n"/>
      <c r="L51" s="2842">
        <f>' SET Cost(staf+OS)'!F69/1000</f>
        <v/>
      </c>
      <c r="M51" s="2842" t="n"/>
      <c r="N51" s="2799" t="n"/>
      <c r="O51" s="2842" t="n"/>
      <c r="P51" s="2842">
        <f>' SET Cost(staf+OS)'!G69/1000</f>
        <v/>
      </c>
      <c r="Q51" s="2842" t="n"/>
      <c r="R51" s="2789" t="n"/>
      <c r="S51" s="2842" t="n"/>
      <c r="T51" s="2842">
        <f>' SET Cost(staf+OS)'!H69/1000</f>
        <v/>
      </c>
      <c r="U51" s="2842" t="n"/>
      <c r="V51" s="2799" t="n"/>
      <c r="W51" s="2842" t="n"/>
      <c r="X51" s="2842">
        <f>' SET Cost(staf+OS)'!I69/1000</f>
        <v/>
      </c>
      <c r="Y51" s="2842" t="n"/>
      <c r="Z51" s="2799" t="n"/>
      <c r="AA51" s="2842" t="n"/>
      <c r="AB51" s="2842">
        <f>' SET Cost(staf+OS)'!J69/1000</f>
        <v/>
      </c>
      <c r="AC51" s="2842" t="n"/>
      <c r="AD51" s="2799" t="n"/>
      <c r="AE51" s="2842" t="n"/>
      <c r="AF51" s="2842">
        <f>' SET Cost(staf+OS)'!K69/1000</f>
        <v/>
      </c>
      <c r="AG51" s="2842" t="n"/>
      <c r="AH51" s="2799" t="n"/>
      <c r="AI51" s="2842" t="n"/>
      <c r="AJ51" s="2842">
        <f>' SET Cost(staf+OS)'!L69/1000</f>
        <v/>
      </c>
      <c r="AK51" s="2842" t="n"/>
      <c r="AL51" s="2789" t="n"/>
      <c r="AM51" s="2842" t="n"/>
      <c r="AN51" s="2842">
        <f>' SET Cost(staf+OS)'!M69/1000</f>
        <v/>
      </c>
      <c r="AO51" s="2842" t="n"/>
      <c r="AP51" s="2789" t="n"/>
      <c r="AQ51" s="2842" t="n"/>
      <c r="AR51" s="2842">
        <f>' SET Cost(staf+OS)'!N69/1000</f>
        <v/>
      </c>
      <c r="AS51" s="2842" t="n"/>
      <c r="AT51" s="2789" t="n"/>
      <c r="AU51" s="2842" t="n"/>
      <c r="AV51" s="2842">
        <f>' SET Cost(staf+OS)'!O69/1000</f>
        <v/>
      </c>
      <c r="AW51" s="2842" t="n"/>
      <c r="AX51" s="2789" t="n"/>
      <c r="AY51" s="2841" t="n"/>
      <c r="AZ51" s="2841">
        <f>SUM(C51:AW51)</f>
        <v/>
      </c>
      <c r="BA51" s="2841" t="n"/>
    </row>
    <row customFormat="1" outlineLevel="1" r="52" s="2808" spans="1:55">
      <c r="A52" s="2841" t="s">
        <v>189</v>
      </c>
      <c r="B52" s="2789" t="n"/>
      <c r="C52" s="2842" t="n"/>
      <c r="D52" s="2842">
        <f>' SET Cost(staf+OS)'!D70/1000</f>
        <v/>
      </c>
      <c r="E52" s="2842" t="n"/>
      <c r="F52" s="2789" t="n"/>
      <c r="G52" s="2842" t="n"/>
      <c r="H52" s="2842">
        <f>' SET Cost(staf+OS)'!E70/1000</f>
        <v/>
      </c>
      <c r="I52" s="2842" t="n"/>
      <c r="J52" s="2789" t="n"/>
      <c r="K52" s="2842" t="n"/>
      <c r="L52" s="2842">
        <f>' SET Cost(staf+OS)'!F70/1000</f>
        <v/>
      </c>
      <c r="M52" s="2842" t="n"/>
      <c r="N52" s="2799" t="n"/>
      <c r="O52" s="2842" t="n"/>
      <c r="P52" s="2842">
        <f>' SET Cost(staf+OS)'!G70/1000</f>
        <v/>
      </c>
      <c r="Q52" s="2842" t="n"/>
      <c r="R52" s="2789" t="n"/>
      <c r="S52" s="2842" t="n"/>
      <c r="T52" s="2842">
        <f>' SET Cost(staf+OS)'!H70/1000</f>
        <v/>
      </c>
      <c r="U52" s="2842" t="n"/>
      <c r="V52" s="2799" t="n"/>
      <c r="W52" s="2842" t="n"/>
      <c r="X52" s="2842">
        <f>' SET Cost(staf+OS)'!I70/1000</f>
        <v/>
      </c>
      <c r="Y52" s="2842" t="n"/>
      <c r="Z52" s="2799" t="n"/>
      <c r="AA52" s="2842" t="n"/>
      <c r="AB52" s="2842">
        <f>' SET Cost(staf+OS)'!J70/1000</f>
        <v/>
      </c>
      <c r="AC52" s="2842" t="n"/>
      <c r="AD52" s="2799" t="n"/>
      <c r="AE52" s="2842" t="n"/>
      <c r="AF52" s="2842">
        <f>' SET Cost(staf+OS)'!K70/1000</f>
        <v/>
      </c>
      <c r="AG52" s="2842" t="n"/>
      <c r="AH52" s="2799" t="n"/>
      <c r="AI52" s="2842" t="n"/>
      <c r="AJ52" s="2842">
        <f>' SET Cost(staf+OS)'!L70/1000</f>
        <v/>
      </c>
      <c r="AK52" s="2842" t="n"/>
      <c r="AL52" s="2789" t="n"/>
      <c r="AM52" s="2842" t="n"/>
      <c r="AN52" s="2842">
        <f>' SET Cost(staf+OS)'!M70/1000</f>
        <v/>
      </c>
      <c r="AO52" s="2842" t="n"/>
      <c r="AP52" s="2789" t="n"/>
      <c r="AQ52" s="2842" t="n"/>
      <c r="AR52" s="2842">
        <f>' SET Cost(staf+OS)'!N70/1000</f>
        <v/>
      </c>
      <c r="AS52" s="2842" t="n"/>
      <c r="AT52" s="2789" t="n"/>
      <c r="AU52" s="2842" t="n"/>
      <c r="AV52" s="2842">
        <f>' SET Cost(staf+OS)'!O70/1000</f>
        <v/>
      </c>
      <c r="AW52" s="2842" t="n"/>
      <c r="AX52" s="2789" t="n"/>
      <c r="AY52" s="2841" t="n"/>
      <c r="AZ52" s="2841">
        <f>SUM(C52:AW52)</f>
        <v/>
      </c>
      <c r="BA52" s="2841" t="n"/>
      <c r="BB52" s="2808" t="n"/>
    </row>
    <row customFormat="1" outlineLevel="1" r="53" s="2808" spans="1:55">
      <c r="A53" s="2841" t="s">
        <v>252</v>
      </c>
      <c r="B53" s="2789" t="n"/>
      <c r="C53" s="2842" t="n"/>
      <c r="D53" s="2842">
        <f>' SET Cost(staf+OS)'!D71/1000</f>
        <v/>
      </c>
      <c r="E53" s="2842" t="n"/>
      <c r="F53" s="2789" t="n"/>
      <c r="G53" s="2842" t="n"/>
      <c r="H53" s="2842">
        <f>' SET Cost(staf+OS)'!E71/1000</f>
        <v/>
      </c>
      <c r="I53" s="2842" t="n"/>
      <c r="J53" s="2789" t="n"/>
      <c r="K53" s="2842" t="n"/>
      <c r="L53" s="2842">
        <f>' SET Cost(staf+OS)'!F71/1000</f>
        <v/>
      </c>
      <c r="M53" s="2842" t="n"/>
      <c r="N53" s="2799" t="n"/>
      <c r="O53" s="2842" t="n"/>
      <c r="P53" s="2842">
        <f>' SET Cost(staf+OS)'!G71/1000</f>
        <v/>
      </c>
      <c r="Q53" s="2842" t="n"/>
      <c r="R53" s="2789" t="n"/>
      <c r="S53" s="2842" t="n"/>
      <c r="T53" s="2842">
        <f>' SET Cost(staf+OS)'!H71/1000</f>
        <v/>
      </c>
      <c r="U53" s="2842" t="n"/>
      <c r="V53" s="2799" t="n"/>
      <c r="W53" s="2842" t="n"/>
      <c r="X53" s="2842">
        <f>' SET Cost(staf+OS)'!I71/1000</f>
        <v/>
      </c>
      <c r="Y53" s="2842" t="n"/>
      <c r="Z53" s="2799" t="n"/>
      <c r="AA53" s="2842" t="n"/>
      <c r="AB53" s="2842">
        <f>' SET Cost(staf+OS)'!J71/1000</f>
        <v/>
      </c>
      <c r="AC53" s="2842" t="n"/>
      <c r="AD53" s="2799" t="n"/>
      <c r="AE53" s="2842" t="n"/>
      <c r="AF53" s="2842">
        <f>' SET Cost(staf+OS)'!K71/1000</f>
        <v/>
      </c>
      <c r="AG53" s="2842" t="n"/>
      <c r="AH53" s="2799" t="n"/>
      <c r="AI53" s="2842" t="n"/>
      <c r="AJ53" s="2842">
        <f>' SET Cost(staf+OS)'!L71/1000</f>
        <v/>
      </c>
      <c r="AK53" s="2842" t="n"/>
      <c r="AL53" s="2789" t="n"/>
      <c r="AM53" s="2842" t="n"/>
      <c r="AN53" s="2842">
        <f>' SET Cost(staf+OS)'!M71/1000</f>
        <v/>
      </c>
      <c r="AO53" s="2842" t="n"/>
      <c r="AP53" s="2789" t="n"/>
      <c r="AQ53" s="2842" t="n"/>
      <c r="AR53" s="2842">
        <f>' SET Cost(staf+OS)'!N71/1000</f>
        <v/>
      </c>
      <c r="AS53" s="2842" t="n"/>
      <c r="AT53" s="2789" t="n"/>
      <c r="AU53" s="2842" t="n"/>
      <c r="AV53" s="2842">
        <f>' SET Cost(staf+OS)'!O71/1000</f>
        <v/>
      </c>
      <c r="AW53" s="2842" t="n"/>
      <c r="AX53" s="2789" t="n"/>
      <c r="AY53" s="2841" t="n"/>
      <c r="AZ53" s="2841">
        <f>SUM(C53:AW53)</f>
        <v/>
      </c>
      <c r="BA53" s="2841" t="n"/>
      <c r="BB53" s="2808" t="n"/>
    </row>
    <row customFormat="1" outlineLevel="1" r="54" s="2808" spans="1:55">
      <c r="A54" s="2841" t="s">
        <v>191</v>
      </c>
      <c r="B54" s="2789" t="n"/>
      <c r="C54" s="2842" t="n"/>
      <c r="D54" s="2842">
        <f>' SET Cost(staf+OS)'!D72/1000</f>
        <v/>
      </c>
      <c r="E54" s="2842" t="n"/>
      <c r="F54" s="2789" t="n"/>
      <c r="G54" s="2842" t="n"/>
      <c r="H54" s="2842">
        <f>' SET Cost(staf+OS)'!E72/1000</f>
        <v/>
      </c>
      <c r="I54" s="2842" t="n"/>
      <c r="J54" s="2789" t="n"/>
      <c r="K54" s="2842" t="n"/>
      <c r="L54" s="2842">
        <f>' SET Cost(staf+OS)'!F72/1000</f>
        <v/>
      </c>
      <c r="M54" s="2842" t="n"/>
      <c r="N54" s="2799" t="n"/>
      <c r="O54" s="2842" t="n"/>
      <c r="P54" s="2842">
        <f>' SET Cost(staf+OS)'!G72/1000</f>
        <v/>
      </c>
      <c r="Q54" s="2842" t="n"/>
      <c r="R54" s="2789" t="n"/>
      <c r="S54" s="2842" t="n"/>
      <c r="T54" s="2842">
        <f>' SET Cost(staf+OS)'!H72/1000</f>
        <v/>
      </c>
      <c r="U54" s="2842" t="n"/>
      <c r="V54" s="2799" t="n"/>
      <c r="W54" s="2842" t="n"/>
      <c r="X54" s="2842">
        <f>' SET Cost(staf+OS)'!I72/1000</f>
        <v/>
      </c>
      <c r="Y54" s="2842" t="n"/>
      <c r="Z54" s="2799" t="n"/>
      <c r="AA54" s="2842" t="n"/>
      <c r="AB54" s="2842">
        <f>' SET Cost(staf+OS)'!J72/1000</f>
        <v/>
      </c>
      <c r="AC54" s="2842" t="n"/>
      <c r="AD54" s="2799" t="n"/>
      <c r="AE54" s="2842" t="n"/>
      <c r="AF54" s="2842">
        <f>' SET Cost(staf+OS)'!K72/1000</f>
        <v/>
      </c>
      <c r="AG54" s="2842" t="n"/>
      <c r="AH54" s="2799" t="n"/>
      <c r="AI54" s="2842" t="n"/>
      <c r="AJ54" s="2842">
        <f>' SET Cost(staf+OS)'!L72/1000</f>
        <v/>
      </c>
      <c r="AK54" s="2842" t="n"/>
      <c r="AL54" s="2789" t="n"/>
      <c r="AM54" s="2842" t="n"/>
      <c r="AN54" s="2842">
        <f>' SET Cost(staf+OS)'!M72/1000</f>
        <v/>
      </c>
      <c r="AO54" s="2842" t="n"/>
      <c r="AP54" s="2789" t="n"/>
      <c r="AQ54" s="2842" t="n"/>
      <c r="AR54" s="2842">
        <f>' SET Cost(staf+OS)'!N72/1000</f>
        <v/>
      </c>
      <c r="AS54" s="2842" t="n"/>
      <c r="AT54" s="2789" t="n"/>
      <c r="AU54" s="2842" t="n"/>
      <c r="AV54" s="2842">
        <f>' SET Cost(staf+OS)'!O72/1000</f>
        <v/>
      </c>
      <c r="AW54" s="2842" t="n"/>
      <c r="AX54" s="2789" t="n"/>
      <c r="AY54" s="2841" t="n"/>
      <c r="AZ54" s="2841">
        <f>SUM(C54:AW54)</f>
        <v/>
      </c>
      <c r="BA54" s="2841" t="n"/>
      <c r="BB54" s="2808" t="n"/>
    </row>
    <row customFormat="1" outlineLevel="1" r="55" s="2808" spans="1:55">
      <c r="A55" s="2841" t="s">
        <v>192</v>
      </c>
      <c r="B55" s="2789" t="n"/>
      <c r="C55" s="2842" t="n"/>
      <c r="D55" s="2842">
        <f>' SET Cost(staf+OS)'!D73/1000</f>
        <v/>
      </c>
      <c r="E55" s="2842" t="n"/>
      <c r="F55" s="2789" t="n"/>
      <c r="G55" s="2842" t="n"/>
      <c r="H55" s="2842">
        <f>' SET Cost(staf+OS)'!E73/1000</f>
        <v/>
      </c>
      <c r="I55" s="2842" t="n"/>
      <c r="J55" s="2789" t="n"/>
      <c r="K55" s="2842" t="n"/>
      <c r="L55" s="2842">
        <f>' SET Cost(staf+OS)'!F73/1000</f>
        <v/>
      </c>
      <c r="M55" s="2842" t="n"/>
      <c r="N55" s="2799" t="n"/>
      <c r="O55" s="2842" t="n"/>
      <c r="P55" s="2842">
        <f>' SET Cost(staf+OS)'!G73/1000</f>
        <v/>
      </c>
      <c r="Q55" s="2842" t="n"/>
      <c r="R55" s="2789" t="n"/>
      <c r="S55" s="2842" t="n"/>
      <c r="T55" s="2842">
        <f>' SET Cost(staf+OS)'!H73/1000</f>
        <v/>
      </c>
      <c r="U55" s="2842" t="n"/>
      <c r="V55" s="2799" t="n"/>
      <c r="W55" s="2842" t="n"/>
      <c r="X55" s="2842">
        <f>' SET Cost(staf+OS)'!I73/1000</f>
        <v/>
      </c>
      <c r="Y55" s="2842" t="n"/>
      <c r="Z55" s="2799" t="n"/>
      <c r="AA55" s="2842" t="n"/>
      <c r="AB55" s="2842">
        <f>' SET Cost(staf+OS)'!J73/1000</f>
        <v/>
      </c>
      <c r="AC55" s="2842" t="n"/>
      <c r="AD55" s="2799" t="n"/>
      <c r="AE55" s="2842" t="n"/>
      <c r="AF55" s="2842">
        <f>' SET Cost(staf+OS)'!K73/1000</f>
        <v/>
      </c>
      <c r="AG55" s="2842" t="n"/>
      <c r="AH55" s="2799" t="n"/>
      <c r="AI55" s="2842" t="n"/>
      <c r="AJ55" s="2842">
        <f>' SET Cost(staf+OS)'!L73/1000</f>
        <v/>
      </c>
      <c r="AK55" s="2842" t="n"/>
      <c r="AL55" s="2789" t="n"/>
      <c r="AM55" s="2842" t="n"/>
      <c r="AN55" s="2842">
        <f>' SET Cost(staf+OS)'!M73/1000</f>
        <v/>
      </c>
      <c r="AO55" s="2842" t="n"/>
      <c r="AP55" s="2789" t="n"/>
      <c r="AQ55" s="2842" t="n"/>
      <c r="AR55" s="2842">
        <f>' SET Cost(staf+OS)'!N73/1000</f>
        <v/>
      </c>
      <c r="AS55" s="2842" t="n"/>
      <c r="AT55" s="2789" t="n"/>
      <c r="AU55" s="2842" t="n"/>
      <c r="AV55" s="2842">
        <f>' SET Cost(staf+OS)'!O73/1000</f>
        <v/>
      </c>
      <c r="AW55" s="2842" t="n"/>
      <c r="AX55" s="2789" t="n"/>
      <c r="AY55" s="2841" t="n"/>
      <c r="AZ55" s="2841">
        <f>SUM(C55:AW55)</f>
        <v/>
      </c>
      <c r="BA55" s="2841" t="n"/>
      <c r="BB55" s="2808" t="n"/>
    </row>
    <row customFormat="1" outlineLevel="1" r="56" s="2808" spans="1:55">
      <c r="A56" s="2841" t="s">
        <v>194</v>
      </c>
      <c r="B56" s="2789" t="n"/>
      <c r="C56" s="2842" t="n"/>
      <c r="D56" s="2842">
        <f>' SET Cost(staf+OS)'!D74/1000+'OS&amp;Travel Exp'!C67/1000</f>
        <v/>
      </c>
      <c r="E56" s="2842" t="n"/>
      <c r="F56" s="2789" t="n"/>
      <c r="G56" s="2842" t="n"/>
      <c r="H56" s="2842">
        <f>' SET Cost(staf+OS)'!E74/1000+'OS&amp;Travel Exp'!D67/1000</f>
        <v/>
      </c>
      <c r="I56" s="2842" t="n"/>
      <c r="J56" s="2789" t="n"/>
      <c r="K56" s="2842" t="n"/>
      <c r="L56" s="2842">
        <f>' SET Cost(staf+OS)'!F74/1000+'OS&amp;Travel Exp'!E67/1000</f>
        <v/>
      </c>
      <c r="M56" s="2842" t="n"/>
      <c r="N56" s="2799" t="n"/>
      <c r="O56" s="2842" t="n"/>
      <c r="P56" s="2842">
        <f>' SET Cost(staf+OS)'!G74/1000+'OS&amp;Travel Exp'!F67/1000</f>
        <v/>
      </c>
      <c r="Q56" s="2842" t="n"/>
      <c r="R56" s="2789" t="n"/>
      <c r="S56" s="2842" t="n"/>
      <c r="T56" s="2842">
        <f>' SET Cost(staf+OS)'!H74/1000+'OS&amp;Travel Exp'!G67/1000</f>
        <v/>
      </c>
      <c r="U56" s="2842" t="n"/>
      <c r="V56" s="2799" t="n"/>
      <c r="W56" s="2842" t="n"/>
      <c r="X56" s="2842">
        <f>' SET Cost(staf+OS)'!I74/1000+'OS&amp;Travel Exp'!H67/1000</f>
        <v/>
      </c>
      <c r="Y56" s="2842" t="n"/>
      <c r="Z56" s="2799" t="n"/>
      <c r="AA56" s="2842" t="n"/>
      <c r="AB56" s="2842">
        <f>' SET Cost(staf+OS)'!J74/1000+'OS&amp;Travel Exp'!I67/1000</f>
        <v/>
      </c>
      <c r="AC56" s="2842" t="n"/>
      <c r="AD56" s="2799" t="n"/>
      <c r="AE56" s="2842" t="n"/>
      <c r="AF56" s="2842">
        <f>' SET Cost(staf+OS)'!K74/1000+'OS&amp;Travel Exp'!J67/1000</f>
        <v/>
      </c>
      <c r="AG56" s="2842" t="n"/>
      <c r="AH56" s="2799" t="n"/>
      <c r="AI56" s="2842" t="n"/>
      <c r="AJ56" s="2842">
        <f>' SET Cost(staf+OS)'!L74/1000+'OS&amp;Travel Exp'!K67/1000</f>
        <v/>
      </c>
      <c r="AK56" s="2842" t="n"/>
      <c r="AL56" s="2789" t="n"/>
      <c r="AM56" s="2842" t="n"/>
      <c r="AN56" s="2842">
        <f>' SET Cost(staf+OS)'!M74/1000+'OS&amp;Travel Exp'!L67/1000</f>
        <v/>
      </c>
      <c r="AO56" s="2842" t="n"/>
      <c r="AP56" s="2789" t="n"/>
      <c r="AQ56" s="2842" t="n"/>
      <c r="AR56" s="2842">
        <f>' SET Cost(staf+OS)'!N74/1000+'OS&amp;Travel Exp'!M67/1000</f>
        <v/>
      </c>
      <c r="AS56" s="2842" t="n"/>
      <c r="AT56" s="2789" t="n"/>
      <c r="AU56" s="2842" t="n"/>
      <c r="AV56" s="2842">
        <f>' SET Cost(staf+OS)'!O74/1000+'OS&amp;Travel Exp'!N67/1000</f>
        <v/>
      </c>
      <c r="AW56" s="2842" t="n"/>
      <c r="AX56" s="2789" t="n"/>
      <c r="AY56" s="2841" t="n"/>
      <c r="AZ56" s="2841">
        <f>SUM(C56:AW56)</f>
        <v/>
      </c>
      <c r="BA56" s="2841" t="n"/>
      <c r="BB56" s="2808" t="n"/>
    </row>
    <row customFormat="1" outlineLevel="1" r="57" s="2808" spans="1:55">
      <c r="A57" s="2841" t="s">
        <v>195</v>
      </c>
      <c r="B57" s="2789" t="n"/>
      <c r="C57" s="2842" t="n"/>
      <c r="D57" s="2842">
        <f>' SET Cost(staf+OS)'!D75/1000+'OS&amp;Travel Exp'!C44/1000</f>
        <v/>
      </c>
      <c r="E57" s="2842" t="n"/>
      <c r="F57" s="2789" t="n"/>
      <c r="G57" s="2842" t="n"/>
      <c r="H57" s="2842">
        <f>' SET Cost(staf+OS)'!E75/1000+'OS&amp;Travel Exp'!D44/1000</f>
        <v/>
      </c>
      <c r="I57" s="2842" t="n"/>
      <c r="J57" s="2789" t="n"/>
      <c r="K57" s="2842" t="n"/>
      <c r="L57" s="2842">
        <f>' SET Cost(staf+OS)'!F75/1000+'OS&amp;Travel Exp'!E44/1000</f>
        <v/>
      </c>
      <c r="M57" s="2842" t="n"/>
      <c r="N57" s="2799" t="n"/>
      <c r="O57" s="2842" t="n"/>
      <c r="P57" s="2842">
        <f>' SET Cost(staf+OS)'!G75/1000+'OS&amp;Travel Exp'!F44/1000</f>
        <v/>
      </c>
      <c r="Q57" s="2842" t="n"/>
      <c r="R57" s="2789" t="n"/>
      <c r="S57" s="2842" t="n"/>
      <c r="T57" s="2842">
        <f>' SET Cost(staf+OS)'!H75/1000+'OS&amp;Travel Exp'!G44/1000</f>
        <v/>
      </c>
      <c r="U57" s="2842" t="n"/>
      <c r="V57" s="2799" t="n"/>
      <c r="W57" s="2842" t="n"/>
      <c r="X57" s="2842">
        <f>' SET Cost(staf+OS)'!I75/1000+'OS&amp;Travel Exp'!H44/1000</f>
        <v/>
      </c>
      <c r="Y57" s="2842" t="n"/>
      <c r="Z57" s="2799" t="n"/>
      <c r="AA57" s="2842" t="n"/>
      <c r="AB57" s="2842">
        <f>' SET Cost(staf+OS)'!J75/1000+'OS&amp;Travel Exp'!I44/1000</f>
        <v/>
      </c>
      <c r="AC57" s="2842" t="n"/>
      <c r="AD57" s="2799" t="n"/>
      <c r="AE57" s="2842" t="n"/>
      <c r="AF57" s="2842">
        <f>' SET Cost(staf+OS)'!K75/1000+'OS&amp;Travel Exp'!J44/1000</f>
        <v/>
      </c>
      <c r="AG57" s="2842" t="n"/>
      <c r="AH57" s="2799" t="n"/>
      <c r="AI57" s="2842" t="n"/>
      <c r="AJ57" s="2842">
        <f>' SET Cost(staf+OS)'!L75/1000+'OS&amp;Travel Exp'!K44/1000</f>
        <v/>
      </c>
      <c r="AK57" s="2842" t="n"/>
      <c r="AL57" s="2789" t="n"/>
      <c r="AM57" s="2842" t="n"/>
      <c r="AN57" s="2842">
        <f>' SET Cost(staf+OS)'!M75/1000+'OS&amp;Travel Exp'!L44/1000</f>
        <v/>
      </c>
      <c r="AO57" s="2842" t="n"/>
      <c r="AP57" s="2789" t="n"/>
      <c r="AQ57" s="2842" t="n"/>
      <c r="AR57" s="2842">
        <f>' SET Cost(staf+OS)'!N75/1000+'OS&amp;Travel Exp'!M44/1000</f>
        <v/>
      </c>
      <c r="AS57" s="2842" t="n"/>
      <c r="AT57" s="2789" t="n"/>
      <c r="AU57" s="2842" t="n"/>
      <c r="AV57" s="2842">
        <f>' SET Cost(staf+OS)'!O75/1000+'OS&amp;Travel Exp'!N44/1000</f>
        <v/>
      </c>
      <c r="AW57" s="2842" t="n"/>
      <c r="AX57" s="2789" t="n"/>
      <c r="AY57" s="2841" t="n"/>
      <c r="AZ57" s="2841">
        <f>SUM(C57:AW57)</f>
        <v/>
      </c>
      <c r="BA57" s="2841" t="n"/>
      <c r="BB57" s="2808" t="n"/>
    </row>
    <row customFormat="1" outlineLevel="1" r="58" s="2808" spans="1:55">
      <c r="A58" s="2843" t="s">
        <v>366</v>
      </c>
      <c r="B58" s="2793" t="n"/>
      <c r="C58" s="2844" t="n"/>
      <c r="D58" s="2844">
        <f>'OS&amp;Travel Exp'!C19</f>
        <v/>
      </c>
      <c r="E58" s="2844" t="n"/>
      <c r="F58" s="2793" t="n"/>
      <c r="G58" s="2844" t="n"/>
      <c r="H58" s="2844">
        <f>'OS&amp;Travel Exp'!D19</f>
        <v/>
      </c>
      <c r="I58" s="2844" t="n"/>
      <c r="J58" s="2793" t="n"/>
      <c r="K58" s="2844" t="n"/>
      <c r="L58" s="2844">
        <f>'OS&amp;Travel Exp'!E19</f>
        <v/>
      </c>
      <c r="M58" s="2844" t="n"/>
      <c r="N58" s="2795" t="n"/>
      <c r="O58" s="2844" t="n"/>
      <c r="P58" s="2844">
        <f>'OS&amp;Travel Exp'!F19</f>
        <v/>
      </c>
      <c r="Q58" s="2844" t="n"/>
      <c r="R58" s="2793" t="n"/>
      <c r="S58" s="2844" t="n"/>
      <c r="T58" s="2844">
        <f>'OS&amp;Travel Exp'!G19</f>
        <v/>
      </c>
      <c r="U58" s="2844" t="n"/>
      <c r="V58" s="2795" t="n"/>
      <c r="W58" s="2844" t="n"/>
      <c r="X58" s="2844">
        <f>'OS&amp;Travel Exp'!H19</f>
        <v/>
      </c>
      <c r="Y58" s="2844" t="n"/>
      <c r="Z58" s="2795" t="n"/>
      <c r="AA58" s="2844" t="n"/>
      <c r="AB58" s="2844">
        <f>'OS&amp;Travel Exp'!I19</f>
        <v/>
      </c>
      <c r="AC58" s="2844" t="n"/>
      <c r="AD58" s="2795" t="n"/>
      <c r="AE58" s="2844" t="n"/>
      <c r="AF58" s="2844">
        <f>'OS&amp;Travel Exp'!J19</f>
        <v/>
      </c>
      <c r="AG58" s="2844" t="n"/>
      <c r="AH58" s="2795" t="n"/>
      <c r="AI58" s="2844" t="n"/>
      <c r="AJ58" s="2844">
        <f>'OS&amp;Travel Exp'!K19</f>
        <v/>
      </c>
      <c r="AK58" s="2844" t="n"/>
      <c r="AL58" s="2793" t="n"/>
      <c r="AM58" s="2844" t="n"/>
      <c r="AN58" s="2844">
        <f>'OS&amp;Travel Exp'!L19</f>
        <v/>
      </c>
      <c r="AO58" s="2844" t="n"/>
      <c r="AP58" s="2793" t="n"/>
      <c r="AQ58" s="2844" t="n"/>
      <c r="AR58" s="2844">
        <f>'OS&amp;Travel Exp'!M19</f>
        <v/>
      </c>
      <c r="AS58" s="2844" t="n"/>
      <c r="AT58" s="2793" t="n"/>
      <c r="AU58" s="2844" t="n"/>
      <c r="AV58" s="2844">
        <f>'OS&amp;Travel Exp'!N19</f>
        <v/>
      </c>
      <c r="AW58" s="2844" t="n"/>
      <c r="AX58" s="2793" t="n"/>
      <c r="AY58" s="2843" t="n"/>
      <c r="AZ58" s="2843">
        <f>SUM(C58:AW58)</f>
        <v/>
      </c>
      <c r="BA58" s="2843" t="n"/>
    </row>
    <row customFormat="1" outlineLevel="1" r="59" s="2808" spans="1:55">
      <c r="A59" s="2841" t="s">
        <v>161</v>
      </c>
      <c r="B59" s="2789" t="n"/>
      <c r="C59" s="2842" t="n"/>
      <c r="D59" s="2842">
        <f>' SET Cost(staf+OS)'!D77/1000</f>
        <v/>
      </c>
      <c r="E59" s="2842" t="n"/>
      <c r="F59" s="2789" t="n"/>
      <c r="G59" s="2842" t="n"/>
      <c r="H59" s="2842">
        <f>' SET Cost(staf+OS)'!E77/1000</f>
        <v/>
      </c>
      <c r="I59" s="2842" t="n"/>
      <c r="J59" s="2789" t="n"/>
      <c r="K59" s="2842" t="n"/>
      <c r="L59" s="2842">
        <f>' SET Cost(staf+OS)'!F77/1000</f>
        <v/>
      </c>
      <c r="M59" s="2842" t="n"/>
      <c r="N59" s="2799" t="n"/>
      <c r="O59" s="2842" t="n"/>
      <c r="P59" s="2842">
        <f>' SET Cost(staf+OS)'!G77/1000</f>
        <v/>
      </c>
      <c r="Q59" s="2842" t="n"/>
      <c r="R59" s="2789" t="n"/>
      <c r="S59" s="2842" t="n"/>
      <c r="T59" s="2842">
        <f>' SET Cost(staf+OS)'!H77/1000</f>
        <v/>
      </c>
      <c r="U59" s="2842" t="n"/>
      <c r="V59" s="2799" t="n"/>
      <c r="W59" s="2842" t="n"/>
      <c r="X59" s="2842">
        <f>' SET Cost(staf+OS)'!I77/1000</f>
        <v/>
      </c>
      <c r="Y59" s="2842" t="n"/>
      <c r="Z59" s="2799" t="n"/>
      <c r="AA59" s="2842" t="n"/>
      <c r="AB59" s="2842">
        <f>' SET Cost(staf+OS)'!J77/1000</f>
        <v/>
      </c>
      <c r="AC59" s="2842" t="n"/>
      <c r="AD59" s="2799" t="n"/>
      <c r="AE59" s="2842" t="n"/>
      <c r="AF59" s="2842">
        <f>' SET Cost(staf+OS)'!K77/1000</f>
        <v/>
      </c>
      <c r="AG59" s="2842" t="n"/>
      <c r="AH59" s="2799" t="n"/>
      <c r="AI59" s="2842" t="n"/>
      <c r="AJ59" s="2842">
        <f>' SET Cost(staf+OS)'!L77/1000</f>
        <v/>
      </c>
      <c r="AK59" s="2842" t="n"/>
      <c r="AL59" s="2789" t="n"/>
      <c r="AM59" s="2842" t="n"/>
      <c r="AN59" s="2842">
        <f>' SET Cost(staf+OS)'!M77/1000</f>
        <v/>
      </c>
      <c r="AO59" s="2842" t="n"/>
      <c r="AP59" s="2789" t="n"/>
      <c r="AQ59" s="2842" t="n"/>
      <c r="AR59" s="2842">
        <f>' SET Cost(staf+OS)'!N77/1000</f>
        <v/>
      </c>
      <c r="AS59" s="2842" t="n"/>
      <c r="AT59" s="2789" t="n"/>
      <c r="AU59" s="2842" t="n"/>
      <c r="AV59" s="2842">
        <f>' SET Cost(staf+OS)'!O77/1000</f>
        <v/>
      </c>
      <c r="AW59" s="2842" t="n"/>
      <c r="AX59" s="2789" t="n"/>
      <c r="AY59" s="2841" t="n"/>
      <c r="AZ59" s="2841">
        <f>SUM(C59:AW59)</f>
        <v/>
      </c>
      <c r="BA59" s="2841" t="n"/>
    </row>
    <row customFormat="1" outlineLevel="1" r="60" s="2808" spans="1:55">
      <c r="A60" s="2845" t="s">
        <v>367</v>
      </c>
      <c r="B60" s="2789" t="n"/>
      <c r="C60" s="2842" t="n"/>
      <c r="D60" s="2842">
        <f>' SET Cost(staf+OS)'!D78/1000</f>
        <v/>
      </c>
      <c r="E60" s="2842" t="n"/>
      <c r="F60" s="2789" t="n"/>
      <c r="G60" s="2842" t="n"/>
      <c r="H60" s="2842">
        <f>' SET Cost(staf+OS)'!E78/1000</f>
        <v/>
      </c>
      <c r="I60" s="2842" t="n"/>
      <c r="J60" s="2789" t="n"/>
      <c r="K60" s="2842" t="n"/>
      <c r="L60" s="2842">
        <f>' SET Cost(staf+OS)'!F78/1000</f>
        <v/>
      </c>
      <c r="M60" s="2842" t="n"/>
      <c r="N60" s="2799" t="n"/>
      <c r="O60" s="2842" t="n"/>
      <c r="P60" s="2842">
        <f>' SET Cost(staf+OS)'!G78/1000</f>
        <v/>
      </c>
      <c r="Q60" s="2842" t="n"/>
      <c r="R60" s="2789" t="n"/>
      <c r="S60" s="2842" t="n"/>
      <c r="T60" s="2842">
        <f>' SET Cost(staf+OS)'!H78/1000</f>
        <v/>
      </c>
      <c r="U60" s="2842" t="n"/>
      <c r="V60" s="2799" t="n"/>
      <c r="W60" s="2842" t="n"/>
      <c r="X60" s="2842">
        <f>' SET Cost(staf+OS)'!I78/1000</f>
        <v/>
      </c>
      <c r="Y60" s="2842" t="n"/>
      <c r="Z60" s="2799" t="n"/>
      <c r="AA60" s="2842" t="n"/>
      <c r="AB60" s="2842">
        <f>' SET Cost(staf+OS)'!J78/1000</f>
        <v/>
      </c>
      <c r="AC60" s="2842" t="n"/>
      <c r="AD60" s="2799" t="n"/>
      <c r="AE60" s="2842" t="n"/>
      <c r="AF60" s="2842">
        <f>' SET Cost(staf+OS)'!K78/1000</f>
        <v/>
      </c>
      <c r="AG60" s="2842" t="n"/>
      <c r="AH60" s="2799" t="n"/>
      <c r="AI60" s="2842" t="n"/>
      <c r="AJ60" s="2842">
        <f>' SET Cost(staf+OS)'!L78/1000</f>
        <v/>
      </c>
      <c r="AK60" s="2842" t="n"/>
      <c r="AL60" s="2789" t="n"/>
      <c r="AM60" s="2842" t="n"/>
      <c r="AN60" s="2842">
        <f>' SET Cost(staf+OS)'!M78/1000</f>
        <v/>
      </c>
      <c r="AO60" s="2842" t="n"/>
      <c r="AP60" s="2789" t="n"/>
      <c r="AQ60" s="2842" t="n"/>
      <c r="AR60" s="2842">
        <f>' SET Cost(staf+OS)'!N78/1000</f>
        <v/>
      </c>
      <c r="AS60" s="2842" t="n"/>
      <c r="AT60" s="2789" t="n"/>
      <c r="AU60" s="2842" t="n"/>
      <c r="AV60" s="2842">
        <f>' SET Cost(staf+OS)'!O78/1000</f>
        <v/>
      </c>
      <c r="AW60" s="2842" t="n"/>
      <c r="AX60" s="2789" t="n"/>
      <c r="AY60" s="2841" t="n"/>
      <c r="AZ60" s="2841">
        <f>SUM(C60:AW60)</f>
        <v/>
      </c>
      <c r="BA60" s="2841" t="n"/>
      <c r="BB60" s="2808" t="n"/>
    </row>
    <row customFormat="1" outlineLevel="1" r="61" s="2808" spans="1:55">
      <c r="A61" s="2845" t="s">
        <v>232</v>
      </c>
      <c r="B61" s="2789" t="n"/>
      <c r="C61" s="2842" t="n"/>
      <c r="D61" s="2842">
        <f>' SET Cost(staf+OS)'!D79/1000</f>
        <v/>
      </c>
      <c r="E61" s="2842" t="n"/>
      <c r="F61" s="2789" t="n"/>
      <c r="G61" s="2842" t="n"/>
      <c r="H61" s="2842">
        <f>' SET Cost(staf+OS)'!E79/1000</f>
        <v/>
      </c>
      <c r="I61" s="2842" t="n"/>
      <c r="J61" s="2789" t="n"/>
      <c r="K61" s="2842" t="n"/>
      <c r="L61" s="2842">
        <f>' SET Cost(staf+OS)'!F79/1000</f>
        <v/>
      </c>
      <c r="M61" s="2842" t="n"/>
      <c r="N61" s="2799" t="n"/>
      <c r="O61" s="2842" t="n"/>
      <c r="P61" s="2842">
        <f>' SET Cost(staf+OS)'!G79/1000</f>
        <v/>
      </c>
      <c r="Q61" s="2842" t="n"/>
      <c r="R61" s="2789" t="n"/>
      <c r="S61" s="2842" t="n"/>
      <c r="T61" s="2842">
        <f>' SET Cost(staf+OS)'!H79/1000</f>
        <v/>
      </c>
      <c r="U61" s="2842" t="n"/>
      <c r="V61" s="2799" t="n"/>
      <c r="W61" s="2842" t="n"/>
      <c r="X61" s="2842">
        <f>' SET Cost(staf+OS)'!I79/1000</f>
        <v/>
      </c>
      <c r="Y61" s="2842" t="n"/>
      <c r="Z61" s="2799" t="n"/>
      <c r="AA61" s="2842" t="n"/>
      <c r="AB61" s="2842">
        <f>' SET Cost(staf+OS)'!J79/1000</f>
        <v/>
      </c>
      <c r="AC61" s="2842" t="n"/>
      <c r="AD61" s="2799" t="n"/>
      <c r="AE61" s="2842" t="n"/>
      <c r="AF61" s="2842">
        <f>' SET Cost(staf+OS)'!K79/1000</f>
        <v/>
      </c>
      <c r="AG61" s="2842" t="n"/>
      <c r="AH61" s="2799" t="n"/>
      <c r="AI61" s="2842" t="n"/>
      <c r="AJ61" s="2842">
        <f>' SET Cost(staf+OS)'!L79/1000</f>
        <v/>
      </c>
      <c r="AK61" s="2842" t="n"/>
      <c r="AL61" s="2789" t="n"/>
      <c r="AM61" s="2842" t="n"/>
      <c r="AN61" s="2842">
        <f>' SET Cost(staf+OS)'!M79/1000</f>
        <v/>
      </c>
      <c r="AO61" s="2842" t="n"/>
      <c r="AP61" s="2789" t="n"/>
      <c r="AQ61" s="2842" t="n"/>
      <c r="AR61" s="2842">
        <f>' SET Cost(staf+OS)'!N79/1000</f>
        <v/>
      </c>
      <c r="AS61" s="2842" t="n"/>
      <c r="AT61" s="2789" t="n"/>
      <c r="AU61" s="2842" t="n"/>
      <c r="AV61" s="2842">
        <f>' SET Cost(staf+OS)'!O79/1000</f>
        <v/>
      </c>
      <c r="AW61" s="2842" t="n"/>
      <c r="AX61" s="2789" t="n"/>
      <c r="AY61" s="2841" t="n"/>
      <c r="AZ61" s="2841">
        <f>SUM(C61:AW61)</f>
        <v/>
      </c>
      <c r="BA61" s="2841" t="n"/>
      <c r="BB61" s="2808" t="n"/>
    </row>
    <row customFormat="1" outlineLevel="1" r="62" s="2808" spans="1:55">
      <c r="A62" s="2845" t="s">
        <v>233</v>
      </c>
      <c r="B62" s="2789" t="n"/>
      <c r="C62" s="2842" t="n"/>
      <c r="D62" s="2842">
        <f>' SET Cost(staf+OS)'!D80/1000</f>
        <v/>
      </c>
      <c r="E62" s="2842" t="n"/>
      <c r="F62" s="2789" t="n"/>
      <c r="G62" s="2842" t="n"/>
      <c r="H62" s="2842">
        <f>' SET Cost(staf+OS)'!E80/1000</f>
        <v/>
      </c>
      <c r="I62" s="2842" t="n"/>
      <c r="J62" s="2789" t="n"/>
      <c r="K62" s="2842" t="n"/>
      <c r="L62" s="2842">
        <f>' SET Cost(staf+OS)'!F80/1000</f>
        <v/>
      </c>
      <c r="M62" s="2842" t="n"/>
      <c r="N62" s="2799" t="n"/>
      <c r="O62" s="2842" t="n"/>
      <c r="P62" s="2842">
        <f>' SET Cost(staf+OS)'!G80/1000</f>
        <v/>
      </c>
      <c r="Q62" s="2842" t="n"/>
      <c r="R62" s="2789" t="n"/>
      <c r="S62" s="2842" t="n"/>
      <c r="T62" s="2842">
        <f>' SET Cost(staf+OS)'!H80/1000</f>
        <v/>
      </c>
      <c r="U62" s="2842" t="n"/>
      <c r="V62" s="2799" t="n"/>
      <c r="W62" s="2842" t="n"/>
      <c r="X62" s="2842">
        <f>' SET Cost(staf+OS)'!I80/1000</f>
        <v/>
      </c>
      <c r="Y62" s="2842" t="n"/>
      <c r="Z62" s="2799" t="n"/>
      <c r="AA62" s="2842" t="n"/>
      <c r="AB62" s="2842">
        <f>' SET Cost(staf+OS)'!J80/1000</f>
        <v/>
      </c>
      <c r="AC62" s="2842" t="n"/>
      <c r="AD62" s="2799" t="n"/>
      <c r="AE62" s="2842" t="n"/>
      <c r="AF62" s="2842">
        <f>' SET Cost(staf+OS)'!K80/1000</f>
        <v/>
      </c>
      <c r="AG62" s="2842" t="n"/>
      <c r="AH62" s="2799" t="n"/>
      <c r="AI62" s="2842" t="n"/>
      <c r="AJ62" s="2842">
        <f>' SET Cost(staf+OS)'!L80/1000</f>
        <v/>
      </c>
      <c r="AK62" s="2842" t="n"/>
      <c r="AL62" s="2789" t="n"/>
      <c r="AM62" s="2842" t="n"/>
      <c r="AN62" s="2842">
        <f>' SET Cost(staf+OS)'!M80/1000</f>
        <v/>
      </c>
      <c r="AO62" s="2842" t="n"/>
      <c r="AP62" s="2789" t="n"/>
      <c r="AQ62" s="2842" t="n"/>
      <c r="AR62" s="2842">
        <f>' SET Cost(staf+OS)'!N80/1000</f>
        <v/>
      </c>
      <c r="AS62" s="2842" t="n"/>
      <c r="AT62" s="2789" t="n"/>
      <c r="AU62" s="2842" t="n"/>
      <c r="AV62" s="2842">
        <f>' SET Cost(staf+OS)'!O80/1000</f>
        <v/>
      </c>
      <c r="AW62" s="2842" t="n"/>
      <c r="AX62" s="2789" t="n"/>
      <c r="AY62" s="2841" t="n"/>
      <c r="AZ62" s="2841">
        <f>SUM(C62:AW62)</f>
        <v/>
      </c>
      <c r="BA62" s="2841" t="n"/>
      <c r="BB62" s="2808" t="n"/>
    </row>
    <row customFormat="1" outlineLevel="1" r="63" s="2808" spans="1:55">
      <c r="A63" s="2845" t="s">
        <v>368</v>
      </c>
      <c r="B63" s="2789" t="n"/>
      <c r="C63" s="2842" t="n"/>
      <c r="D63" s="2842">
        <f>' SET Cost(staf+OS)'!D81/1000</f>
        <v/>
      </c>
      <c r="E63" s="2842" t="n"/>
      <c r="F63" s="2789" t="n"/>
      <c r="G63" s="2842" t="n"/>
      <c r="H63" s="2842">
        <f>' SET Cost(staf+OS)'!E81/1000</f>
        <v/>
      </c>
      <c r="I63" s="2842" t="n"/>
      <c r="J63" s="2789" t="n"/>
      <c r="K63" s="2842" t="n"/>
      <c r="L63" s="2842">
        <f>' SET Cost(staf+OS)'!F81/1000</f>
        <v/>
      </c>
      <c r="M63" s="2842" t="n"/>
      <c r="N63" s="2799" t="n"/>
      <c r="O63" s="2842" t="n"/>
      <c r="P63" s="2842">
        <f>' SET Cost(staf+OS)'!G81/1000</f>
        <v/>
      </c>
      <c r="Q63" s="2842" t="n"/>
      <c r="R63" s="2789" t="n"/>
      <c r="S63" s="2842" t="n"/>
      <c r="T63" s="2842">
        <f>' SET Cost(staf+OS)'!H81/1000</f>
        <v/>
      </c>
      <c r="U63" s="2842" t="n"/>
      <c r="V63" s="2799" t="n"/>
      <c r="W63" s="2842" t="n"/>
      <c r="X63" s="2842">
        <f>' SET Cost(staf+OS)'!I81/1000</f>
        <v/>
      </c>
      <c r="Y63" s="2842" t="n"/>
      <c r="Z63" s="2799" t="n"/>
      <c r="AA63" s="2842" t="n"/>
      <c r="AB63" s="2842">
        <f>' SET Cost(staf+OS)'!J81/1000</f>
        <v/>
      </c>
      <c r="AC63" s="2842" t="n"/>
      <c r="AD63" s="2799" t="n"/>
      <c r="AE63" s="2842" t="n"/>
      <c r="AF63" s="2842">
        <f>' SET Cost(staf+OS)'!K81/1000</f>
        <v/>
      </c>
      <c r="AG63" s="2842" t="n"/>
      <c r="AH63" s="2799" t="n"/>
      <c r="AI63" s="2842" t="n"/>
      <c r="AJ63" s="2842">
        <f>' SET Cost(staf+OS)'!L81/1000</f>
        <v/>
      </c>
      <c r="AK63" s="2842" t="n"/>
      <c r="AL63" s="2789" t="n"/>
      <c r="AM63" s="2842" t="n"/>
      <c r="AN63" s="2842">
        <f>' SET Cost(staf+OS)'!M81/1000</f>
        <v/>
      </c>
      <c r="AO63" s="2842" t="n"/>
      <c r="AP63" s="2789" t="n"/>
      <c r="AQ63" s="2842" t="n"/>
      <c r="AR63" s="2842">
        <f>' SET Cost(staf+OS)'!N81/1000</f>
        <v/>
      </c>
      <c r="AS63" s="2842" t="n"/>
      <c r="AT63" s="2789" t="n"/>
      <c r="AU63" s="2842" t="n"/>
      <c r="AV63" s="2842">
        <f>' SET Cost(staf+OS)'!O81/1000</f>
        <v/>
      </c>
      <c r="AW63" s="2842" t="n"/>
      <c r="AX63" s="2789" t="n"/>
      <c r="AY63" s="2841" t="n"/>
      <c r="AZ63" s="2841">
        <f>SUM(C63:AW63)</f>
        <v/>
      </c>
      <c r="BA63" s="2841" t="n"/>
      <c r="BB63" s="2808" t="n"/>
    </row>
    <row customFormat="1" outlineLevel="1" r="64" s="2808" spans="1:55">
      <c r="A64" s="2845" t="s">
        <v>369</v>
      </c>
      <c r="B64" s="2789" t="n"/>
      <c r="C64" s="2842" t="n"/>
      <c r="D64" s="2842">
        <f>' SET Cost(staf+OS)'!D82/1000</f>
        <v/>
      </c>
      <c r="E64" s="2842" t="n"/>
      <c r="F64" s="2789" t="n"/>
      <c r="G64" s="2842" t="n"/>
      <c r="H64" s="2842">
        <f>' SET Cost(staf+OS)'!E82/1000</f>
        <v/>
      </c>
      <c r="I64" s="2842" t="n"/>
      <c r="J64" s="2789" t="n"/>
      <c r="K64" s="2842" t="n"/>
      <c r="L64" s="2842">
        <f>' SET Cost(staf+OS)'!F82/1000</f>
        <v/>
      </c>
      <c r="M64" s="2842" t="n"/>
      <c r="N64" s="2799" t="n"/>
      <c r="O64" s="2842" t="n"/>
      <c r="P64" s="2842">
        <f>' SET Cost(staf+OS)'!G82/1000</f>
        <v/>
      </c>
      <c r="Q64" s="2842" t="n"/>
      <c r="R64" s="2789" t="n"/>
      <c r="S64" s="2842" t="n"/>
      <c r="T64" s="2842">
        <f>' SET Cost(staf+OS)'!H82/1000</f>
        <v/>
      </c>
      <c r="U64" s="2842" t="n"/>
      <c r="V64" s="2799" t="n"/>
      <c r="W64" s="2842" t="n"/>
      <c r="X64" s="2842">
        <f>' SET Cost(staf+OS)'!I82/1000</f>
        <v/>
      </c>
      <c r="Y64" s="2842" t="n"/>
      <c r="Z64" s="2799" t="n"/>
      <c r="AA64" s="2842" t="n"/>
      <c r="AB64" s="2842">
        <f>' SET Cost(staf+OS)'!J82/1000</f>
        <v/>
      </c>
      <c r="AC64" s="2842" t="n"/>
      <c r="AD64" s="2799" t="n"/>
      <c r="AE64" s="2842" t="n"/>
      <c r="AF64" s="2842">
        <f>' SET Cost(staf+OS)'!K82/1000</f>
        <v/>
      </c>
      <c r="AG64" s="2842" t="n"/>
      <c r="AH64" s="2799" t="n"/>
      <c r="AI64" s="2842" t="n"/>
      <c r="AJ64" s="2842">
        <f>' SET Cost(staf+OS)'!L82/1000</f>
        <v/>
      </c>
      <c r="AK64" s="2842" t="n"/>
      <c r="AL64" s="2789" t="n"/>
      <c r="AM64" s="2842" t="n"/>
      <c r="AN64" s="2842">
        <f>' SET Cost(staf+OS)'!M82/1000</f>
        <v/>
      </c>
      <c r="AO64" s="2842" t="n"/>
      <c r="AP64" s="2789" t="n"/>
      <c r="AQ64" s="2842" t="n"/>
      <c r="AR64" s="2842">
        <f>' SET Cost(staf+OS)'!N82/1000</f>
        <v/>
      </c>
      <c r="AS64" s="2842" t="n"/>
      <c r="AT64" s="2789" t="n"/>
      <c r="AU64" s="2842" t="n"/>
      <c r="AV64" s="2842">
        <f>' SET Cost(staf+OS)'!O82/1000</f>
        <v/>
      </c>
      <c r="AW64" s="2842" t="n"/>
      <c r="AX64" s="2789" t="n"/>
      <c r="AY64" s="2841" t="n"/>
      <c r="AZ64" s="2841">
        <f>SUM(C64:AW64)</f>
        <v/>
      </c>
      <c r="BA64" s="2841" t="n"/>
      <c r="BB64" s="2808" t="n"/>
    </row>
    <row customFormat="1" outlineLevel="1" r="65" s="2808" spans="1:55">
      <c r="A65" s="2845" t="s">
        <v>370</v>
      </c>
      <c r="B65" s="2789" t="n"/>
      <c r="C65" s="2842" t="n"/>
      <c r="D65" s="2842">
        <f>' SET Cost(staf+OS)'!D83/1000</f>
        <v/>
      </c>
      <c r="E65" s="2842" t="n"/>
      <c r="F65" s="2789" t="n"/>
      <c r="G65" s="2842" t="n"/>
      <c r="H65" s="2842">
        <f>' SET Cost(staf+OS)'!E83/1000</f>
        <v/>
      </c>
      <c r="I65" s="2842" t="n"/>
      <c r="J65" s="2789" t="n"/>
      <c r="K65" s="2842" t="n"/>
      <c r="L65" s="2842">
        <f>' SET Cost(staf+OS)'!F83/1000</f>
        <v/>
      </c>
      <c r="M65" s="2842" t="n"/>
      <c r="N65" s="2799" t="n"/>
      <c r="O65" s="2842" t="n"/>
      <c r="P65" s="2842">
        <f>' SET Cost(staf+OS)'!G83/1000</f>
        <v/>
      </c>
      <c r="Q65" s="2842" t="n"/>
      <c r="R65" s="2789" t="n"/>
      <c r="S65" s="2842" t="n"/>
      <c r="T65" s="2842">
        <f>' SET Cost(staf+OS)'!H83/1000</f>
        <v/>
      </c>
      <c r="U65" s="2842" t="n"/>
      <c r="V65" s="2799" t="n"/>
      <c r="W65" s="2842" t="n"/>
      <c r="X65" s="2842">
        <f>' SET Cost(staf+OS)'!I83/1000</f>
        <v/>
      </c>
      <c r="Y65" s="2842" t="n"/>
      <c r="Z65" s="2799" t="n"/>
      <c r="AA65" s="2842" t="n"/>
      <c r="AB65" s="2842">
        <f>' SET Cost(staf+OS)'!J83/1000</f>
        <v/>
      </c>
      <c r="AC65" s="2842" t="n"/>
      <c r="AD65" s="2799" t="n"/>
      <c r="AE65" s="2842" t="n"/>
      <c r="AF65" s="2842">
        <f>' SET Cost(staf+OS)'!K83/1000</f>
        <v/>
      </c>
      <c r="AG65" s="2842" t="n"/>
      <c r="AH65" s="2799" t="n"/>
      <c r="AI65" s="2842" t="n"/>
      <c r="AJ65" s="2842">
        <f>' SET Cost(staf+OS)'!L83/1000</f>
        <v/>
      </c>
      <c r="AK65" s="2842" t="n"/>
      <c r="AL65" s="2789" t="n"/>
      <c r="AM65" s="2842" t="n"/>
      <c r="AN65" s="2842">
        <f>' SET Cost(staf+OS)'!M83/1000</f>
        <v/>
      </c>
      <c r="AO65" s="2842" t="n"/>
      <c r="AP65" s="2789" t="n"/>
      <c r="AQ65" s="2842" t="n"/>
      <c r="AR65" s="2842">
        <f>' SET Cost(staf+OS)'!N83/1000</f>
        <v/>
      </c>
      <c r="AS65" s="2842" t="n"/>
      <c r="AT65" s="2789" t="n"/>
      <c r="AU65" s="2842" t="n"/>
      <c r="AV65" s="2842">
        <f>' SET Cost(staf+OS)'!O83/1000</f>
        <v/>
      </c>
      <c r="AW65" s="2842" t="n"/>
      <c r="AX65" s="2789" t="n"/>
      <c r="AY65" s="2841" t="n"/>
      <c r="AZ65" s="2841">
        <f>SUM(C65:AW65)</f>
        <v/>
      </c>
      <c r="BA65" s="2841" t="n"/>
      <c r="BB65" s="2808" t="n"/>
    </row>
    <row customFormat="1" outlineLevel="1" r="66" s="2808" spans="1:55">
      <c r="A66" s="2845" t="s">
        <v>371</v>
      </c>
      <c r="B66" s="2789" t="n"/>
      <c r="C66" s="2842" t="n"/>
      <c r="D66" s="2842">
        <f>' SET Cost(staf+OS)'!D84/1000</f>
        <v/>
      </c>
      <c r="E66" s="2842" t="n"/>
      <c r="F66" s="2789" t="n"/>
      <c r="G66" s="2842" t="n"/>
      <c r="H66" s="2842">
        <f>' SET Cost(staf+OS)'!E84/1000</f>
        <v/>
      </c>
      <c r="I66" s="2842" t="n"/>
      <c r="J66" s="2789" t="n"/>
      <c r="K66" s="2842" t="n"/>
      <c r="L66" s="2842">
        <f>' SET Cost(staf+OS)'!F84/1000</f>
        <v/>
      </c>
      <c r="M66" s="2842" t="n"/>
      <c r="N66" s="2799" t="n"/>
      <c r="O66" s="2842" t="n"/>
      <c r="P66" s="2842">
        <f>' SET Cost(staf+OS)'!G84/1000</f>
        <v/>
      </c>
      <c r="Q66" s="2842" t="n"/>
      <c r="R66" s="2789" t="n"/>
      <c r="S66" s="2842" t="n"/>
      <c r="T66" s="2842">
        <f>' SET Cost(staf+OS)'!H84/1000</f>
        <v/>
      </c>
      <c r="U66" s="2842" t="n"/>
      <c r="V66" s="2799" t="n"/>
      <c r="W66" s="2842" t="n"/>
      <c r="X66" s="2842">
        <f>' SET Cost(staf+OS)'!I84/1000</f>
        <v/>
      </c>
      <c r="Y66" s="2842" t="n"/>
      <c r="Z66" s="2799" t="n"/>
      <c r="AA66" s="2842" t="n"/>
      <c r="AB66" s="2842">
        <f>' SET Cost(staf+OS)'!J84/1000</f>
        <v/>
      </c>
      <c r="AC66" s="2842" t="n"/>
      <c r="AD66" s="2799" t="n"/>
      <c r="AE66" s="2842" t="n"/>
      <c r="AF66" s="2842">
        <f>' SET Cost(staf+OS)'!K84/1000</f>
        <v/>
      </c>
      <c r="AG66" s="2842" t="n"/>
      <c r="AH66" s="2799" t="n"/>
      <c r="AI66" s="2842" t="n"/>
      <c r="AJ66" s="2842">
        <f>' SET Cost(staf+OS)'!L84/1000</f>
        <v/>
      </c>
      <c r="AK66" s="2842" t="n"/>
      <c r="AL66" s="2789" t="n"/>
      <c r="AM66" s="2842" t="n"/>
      <c r="AN66" s="2842">
        <f>' SET Cost(staf+OS)'!M84/1000</f>
        <v/>
      </c>
      <c r="AO66" s="2842" t="n"/>
      <c r="AP66" s="2789" t="n"/>
      <c r="AQ66" s="2842" t="n"/>
      <c r="AR66" s="2842">
        <f>' SET Cost(staf+OS)'!N84/1000</f>
        <v/>
      </c>
      <c r="AS66" s="2842" t="n"/>
      <c r="AT66" s="2789" t="n"/>
      <c r="AU66" s="2842" t="n"/>
      <c r="AV66" s="2842">
        <f>' SET Cost(staf+OS)'!O84/1000</f>
        <v/>
      </c>
      <c r="AW66" s="2842" t="n"/>
      <c r="AX66" s="2789" t="n"/>
      <c r="AY66" s="2841" t="n"/>
      <c r="AZ66" s="2841">
        <f>SUM(C66:AW66)</f>
        <v/>
      </c>
      <c r="BA66" s="2841" t="n"/>
      <c r="BB66" s="2808" t="n"/>
    </row>
    <row customFormat="1" outlineLevel="1" r="67" s="2808" spans="1:55">
      <c r="A67" s="2845" t="s">
        <v>372</v>
      </c>
      <c r="B67" s="2789" t="n"/>
      <c r="C67" s="2842" t="n"/>
      <c r="D67" s="2842">
        <f>' SET Cost(staf+OS)'!D85/1000</f>
        <v/>
      </c>
      <c r="E67" s="2842" t="n"/>
      <c r="F67" s="2789" t="n"/>
      <c r="G67" s="2842" t="n"/>
      <c r="H67" s="2842">
        <f>' SET Cost(staf+OS)'!E85/1000</f>
        <v/>
      </c>
      <c r="I67" s="2842" t="n"/>
      <c r="J67" s="2789" t="n"/>
      <c r="K67" s="2842" t="n"/>
      <c r="L67" s="2842">
        <f>' SET Cost(staf+OS)'!F85/1000</f>
        <v/>
      </c>
      <c r="M67" s="2842" t="n"/>
      <c r="N67" s="2799" t="n"/>
      <c r="O67" s="2842" t="n"/>
      <c r="P67" s="2842">
        <f>' SET Cost(staf+OS)'!G85/1000</f>
        <v/>
      </c>
      <c r="Q67" s="2842" t="n"/>
      <c r="R67" s="2789" t="n"/>
      <c r="S67" s="2842" t="n"/>
      <c r="T67" s="2842">
        <f>' SET Cost(staf+OS)'!H85/1000</f>
        <v/>
      </c>
      <c r="U67" s="2842" t="n"/>
      <c r="V67" s="2799" t="n"/>
      <c r="W67" s="2842" t="n"/>
      <c r="X67" s="2842">
        <f>' SET Cost(staf+OS)'!I85/1000</f>
        <v/>
      </c>
      <c r="Y67" s="2842" t="n"/>
      <c r="Z67" s="2799" t="n"/>
      <c r="AA67" s="2842" t="n"/>
      <c r="AB67" s="2842">
        <f>' SET Cost(staf+OS)'!J85/1000</f>
        <v/>
      </c>
      <c r="AC67" s="2842" t="n"/>
      <c r="AD67" s="2799" t="n"/>
      <c r="AE67" s="2842" t="n"/>
      <c r="AF67" s="2842">
        <f>' SET Cost(staf+OS)'!K85/1000</f>
        <v/>
      </c>
      <c r="AG67" s="2842" t="n"/>
      <c r="AH67" s="2799" t="n"/>
      <c r="AI67" s="2842" t="n"/>
      <c r="AJ67" s="2842">
        <f>' SET Cost(staf+OS)'!L85/1000</f>
        <v/>
      </c>
      <c r="AK67" s="2842" t="n"/>
      <c r="AL67" s="2789" t="n"/>
      <c r="AM67" s="2842" t="n"/>
      <c r="AN67" s="2842">
        <f>' SET Cost(staf+OS)'!M85/1000</f>
        <v/>
      </c>
      <c r="AO67" s="2842" t="n"/>
      <c r="AP67" s="2789" t="n"/>
      <c r="AQ67" s="2842" t="n"/>
      <c r="AR67" s="2842">
        <f>' SET Cost(staf+OS)'!N85/1000</f>
        <v/>
      </c>
      <c r="AS67" s="2842" t="n"/>
      <c r="AT67" s="2789" t="n"/>
      <c r="AU67" s="2842" t="n"/>
      <c r="AV67" s="2842">
        <f>' SET Cost(staf+OS)'!O85/1000</f>
        <v/>
      </c>
      <c r="AW67" s="2842" t="n"/>
      <c r="AX67" s="2789" t="n"/>
      <c r="AY67" s="2841" t="n"/>
      <c r="AZ67" s="2841">
        <f>SUM(C67:AW67)</f>
        <v/>
      </c>
      <c r="BA67" s="2841" t="n"/>
      <c r="BB67" s="2808" t="n"/>
    </row>
    <row customFormat="1" outlineLevel="1" r="68" s="2808" spans="1:55">
      <c r="A68" s="2845" t="s">
        <v>89</v>
      </c>
      <c r="B68" s="2789" t="n"/>
      <c r="C68" s="2842">
        <f>'FY18 SET'!G15/1000</f>
        <v/>
      </c>
      <c r="D68" s="2842" t="n"/>
      <c r="E68" s="2842" t="n"/>
      <c r="F68" s="2789" t="n"/>
      <c r="G68" s="2842">
        <f>'FY18 SET'!H15/1000</f>
        <v/>
      </c>
      <c r="H68" s="2842" t="n"/>
      <c r="I68" s="2842" t="n"/>
      <c r="J68" s="2789" t="n"/>
      <c r="K68" s="2842">
        <f>'FY18 SET'!I15/1000</f>
        <v/>
      </c>
      <c r="L68" s="2842" t="n"/>
      <c r="M68" s="2842" t="n"/>
      <c r="N68" s="2799" t="n"/>
      <c r="O68" s="2842">
        <f>'FY18 SET'!J15/1000</f>
        <v/>
      </c>
      <c r="P68" s="2842" t="n"/>
      <c r="Q68" s="2842" t="n"/>
      <c r="R68" s="2789" t="n"/>
      <c r="S68" s="2842">
        <f>'FY18 SET'!K15/1000</f>
        <v/>
      </c>
      <c r="T68" s="2842" t="n"/>
      <c r="U68" s="2842" t="n"/>
      <c r="V68" s="2799" t="n"/>
      <c r="W68" s="2842">
        <f>'FY18 SET'!L15/1000</f>
        <v/>
      </c>
      <c r="X68" s="2842" t="n"/>
      <c r="Y68" s="2842" t="n"/>
      <c r="Z68" s="2799" t="n"/>
      <c r="AA68" s="2842">
        <f>'FY18 SET'!N15/1000</f>
        <v/>
      </c>
      <c r="AB68" s="2842" t="n"/>
      <c r="AC68" s="2842" t="n"/>
      <c r="AD68" s="2799" t="n"/>
      <c r="AE68" s="2842">
        <f>'FY18 SET'!O15/1000</f>
        <v/>
      </c>
      <c r="AF68" s="2842" t="n"/>
      <c r="AG68" s="2842" t="n"/>
      <c r="AH68" s="2799" t="n"/>
      <c r="AI68" s="2842">
        <f>'FY18 SET'!P15/1000</f>
        <v/>
      </c>
      <c r="AJ68" s="2842" t="n"/>
      <c r="AK68" s="2842" t="n"/>
      <c r="AL68" s="2789" t="n"/>
      <c r="AM68" s="2842">
        <f>'FY18 SET'!Q15/1000</f>
        <v/>
      </c>
      <c r="AN68" s="2842" t="n"/>
      <c r="AO68" s="2842" t="n"/>
      <c r="AP68" s="2789" t="n"/>
      <c r="AQ68" s="2842">
        <f>'FY18 SET'!R15/1000</f>
        <v/>
      </c>
      <c r="AR68" s="2842" t="n"/>
      <c r="AS68" s="2842" t="n"/>
      <c r="AT68" s="2789" t="n"/>
      <c r="AU68" s="2842">
        <f>'FY18 SET'!S15/1000</f>
        <v/>
      </c>
      <c r="AV68" s="2842" t="n"/>
      <c r="AW68" s="2842" t="n"/>
      <c r="AX68" s="2789" t="n"/>
      <c r="AY68" s="2841">
        <f>SUM(B68:AV68)</f>
        <v/>
      </c>
      <c r="AZ68" s="2841" t="n"/>
      <c r="BA68" s="2841" t="n"/>
      <c r="BB68" s="2846" t="n"/>
    </row>
    <row customFormat="1" customHeight="1" ht="17.25" outlineLevel="1" r="69" s="2808" spans="1:55">
      <c r="A69" s="2845" t="s">
        <v>153</v>
      </c>
      <c r="B69" s="2789" t="n"/>
      <c r="C69" s="2841" t="n"/>
      <c r="D69" s="2841" t="n"/>
      <c r="E69" s="2841">
        <f>SUM(C51:C69)-SUM(D51:D69)</f>
        <v/>
      </c>
      <c r="F69" s="2789" t="n"/>
      <c r="G69" s="2841" t="n"/>
      <c r="H69" s="2841" t="n"/>
      <c r="I69" s="2841">
        <f>SUM(G51:G69)-SUM(H51:H69)</f>
        <v/>
      </c>
      <c r="J69" s="2789" t="n"/>
      <c r="K69" s="2841" t="n"/>
      <c r="L69" s="2841" t="n"/>
      <c r="M69" s="2841">
        <f>SUM(K51:K69)-SUM(L51:L69)</f>
        <v/>
      </c>
      <c r="N69" s="2839" t="n"/>
      <c r="O69" s="2841" t="n"/>
      <c r="P69" s="2841" t="n"/>
      <c r="Q69" s="2841">
        <f>SUM(O51:O69)-SUM(P51:P69)</f>
        <v/>
      </c>
      <c r="R69" s="2789" t="n"/>
      <c r="S69" s="2841" t="n"/>
      <c r="T69" s="2841" t="n"/>
      <c r="U69" s="2841">
        <f>SUM(S51:S69)-SUM(T51:T69)</f>
        <v/>
      </c>
      <c r="V69" s="2839" t="n"/>
      <c r="W69" s="2841" t="n"/>
      <c r="X69" s="2841" t="n"/>
      <c r="Y69" s="2841">
        <f>SUM(W51:W69)-SUM(X51:X69)</f>
        <v/>
      </c>
      <c r="Z69" s="2839" t="n"/>
      <c r="AA69" s="2841" t="n"/>
      <c r="AB69" s="2841" t="n"/>
      <c r="AC69" s="2841">
        <f>SUM(AA51:AA69)-SUM(AB51:AB69)</f>
        <v/>
      </c>
      <c r="AD69" s="2839" t="n"/>
      <c r="AE69" s="2841" t="n"/>
      <c r="AF69" s="2841" t="n"/>
      <c r="AG69" s="2841">
        <f>SUM(AE51:AE69)-SUM(AF51:AF69)</f>
        <v/>
      </c>
      <c r="AH69" s="2839" t="n"/>
      <c r="AI69" s="2841" t="n"/>
      <c r="AJ69" s="2841" t="n"/>
      <c r="AK69" s="2841">
        <f>SUM(AI51:AI69)-SUM(AJ51:AJ69)</f>
        <v/>
      </c>
      <c r="AL69" s="2789" t="n"/>
      <c r="AM69" s="2841" t="n"/>
      <c r="AN69" s="2841" t="n"/>
      <c r="AO69" s="2841">
        <f>SUM(AM51:AM69)-SUM(AN51:AN69)</f>
        <v/>
      </c>
      <c r="AP69" s="2789" t="n"/>
      <c r="AQ69" s="2841" t="n"/>
      <c r="AR69" s="2841" t="n"/>
      <c r="AS69" s="2841">
        <f>SUM(AQ51:AQ69)-SUM(AR51:AR69)</f>
        <v/>
      </c>
      <c r="AT69" s="2789" t="n"/>
      <c r="AU69" s="2841" t="n"/>
      <c r="AV69" s="2841" t="n"/>
      <c r="AW69" s="2841">
        <f>SUM(AU51:AU69)-SUM(AV51:AV69)</f>
        <v/>
      </c>
      <c r="AX69" s="2789" t="n"/>
      <c r="AY69" s="2841" t="n"/>
      <c r="AZ69" s="2841" t="n"/>
      <c r="BA69" s="2841">
        <f>SUM(D69:AY69)</f>
        <v/>
      </c>
    </row>
    <row customFormat="1" outlineLevel="1" r="70" s="2808" spans="1:55">
      <c r="A70" s="2847" t="s">
        <v>173</v>
      </c>
      <c r="B70" s="2806" t="n"/>
      <c r="C70" s="2848">
        <f>SUM(C51:C69)</f>
        <v/>
      </c>
      <c r="D70" s="2848">
        <f>SUM(D51:D69)</f>
        <v/>
      </c>
      <c r="E70" s="2848">
        <f>SUM(E69:E69)</f>
        <v/>
      </c>
      <c r="F70" s="2806" t="n"/>
      <c r="G70" s="2848">
        <f>SUM(G51:G69)</f>
        <v/>
      </c>
      <c r="H70" s="2848">
        <f>SUM(H51:H69)</f>
        <v/>
      </c>
      <c r="I70" s="2848">
        <f>SUM(I69:I69)</f>
        <v/>
      </c>
      <c r="J70" s="2806" t="n"/>
      <c r="K70" s="2848">
        <f>SUM(K51:K69)</f>
        <v/>
      </c>
      <c r="L70" s="2848">
        <f>SUM(L51:L69)</f>
        <v/>
      </c>
      <c r="M70" s="2848">
        <f>SUM(M69:M69)</f>
        <v/>
      </c>
      <c r="N70" s="2802" t="n"/>
      <c r="O70" s="2848">
        <f>SUM(O51:O69)</f>
        <v/>
      </c>
      <c r="P70" s="2848">
        <f>SUM(P51:P69)</f>
        <v/>
      </c>
      <c r="Q70" s="2848">
        <f>SUM(Q69:Q69)</f>
        <v/>
      </c>
      <c r="R70" s="2806" t="n"/>
      <c r="S70" s="2848">
        <f>SUM(S51:S69)</f>
        <v/>
      </c>
      <c r="T70" s="2848">
        <f>SUM(T51:T69)</f>
        <v/>
      </c>
      <c r="U70" s="2848">
        <f>SUM(U69:U69)</f>
        <v/>
      </c>
      <c r="V70" s="2802" t="n"/>
      <c r="W70" s="2848">
        <f>SUM(W51:W69)</f>
        <v/>
      </c>
      <c r="X70" s="2848">
        <f>SUM(X51:X69)</f>
        <v/>
      </c>
      <c r="Y70" s="2848">
        <f>SUM(Y69:Y69)</f>
        <v/>
      </c>
      <c r="Z70" s="2802" t="n"/>
      <c r="AA70" s="2848">
        <f>SUM(AA51:AA69)</f>
        <v/>
      </c>
      <c r="AB70" s="2848">
        <f>SUM(AB51:AB69)</f>
        <v/>
      </c>
      <c r="AC70" s="2848">
        <f>SUM(AC69:AC69)</f>
        <v/>
      </c>
      <c r="AD70" s="2802" t="n"/>
      <c r="AE70" s="2848">
        <f>SUM(AE51:AE69)</f>
        <v/>
      </c>
      <c r="AF70" s="2848">
        <f>SUM(AF51:AF69)</f>
        <v/>
      </c>
      <c r="AG70" s="2848">
        <f>SUM(AG69:AG69)</f>
        <v/>
      </c>
      <c r="AH70" s="2802" t="n"/>
      <c r="AI70" s="2848">
        <f>SUM(AI51:AI69)</f>
        <v/>
      </c>
      <c r="AJ70" s="2848">
        <f>SUM(AJ51:AJ69)</f>
        <v/>
      </c>
      <c r="AK70" s="2848">
        <f>SUM(AK69:AK69)</f>
        <v/>
      </c>
      <c r="AL70" s="2806" t="n"/>
      <c r="AM70" s="2848">
        <f>SUM(AM51:AM69)</f>
        <v/>
      </c>
      <c r="AN70" s="2848">
        <f>SUM(AN51:AN69)</f>
        <v/>
      </c>
      <c r="AO70" s="2848">
        <f>SUM(AO69:AO69)</f>
        <v/>
      </c>
      <c r="AP70" s="2806" t="n"/>
      <c r="AQ70" s="2848">
        <f>SUM(AQ51:AQ69)</f>
        <v/>
      </c>
      <c r="AR70" s="2848">
        <f>SUM(AR51:AR69)</f>
        <v/>
      </c>
      <c r="AS70" s="2848">
        <f>SUM(AS69:AS69)</f>
        <v/>
      </c>
      <c r="AT70" s="2806" t="n"/>
      <c r="AU70" s="2848">
        <f>SUM(AU51:AU69)</f>
        <v/>
      </c>
      <c r="AV70" s="2848">
        <f>SUM(AV51:AV69)</f>
        <v/>
      </c>
      <c r="AW70" s="2848">
        <f>SUM(AW69:AW69)</f>
        <v/>
      </c>
      <c r="AX70" s="2806" t="n"/>
      <c r="AY70" s="2847">
        <f>SUM(AY51:AY69)</f>
        <v/>
      </c>
      <c r="AZ70" s="2847">
        <f>SUM(AZ51:AZ67)</f>
        <v/>
      </c>
      <c r="BA70" s="2847">
        <f>SUM(BA69:BA69)</f>
        <v/>
      </c>
    </row>
    <row customFormat="1" outlineLevel="1" r="71" s="2808" spans="1:55">
      <c r="A71" s="2847" t="s">
        <v>377</v>
      </c>
      <c r="B71" s="2806" t="n"/>
      <c r="C71" s="2848" t="n"/>
      <c r="D71" s="2848" t="n"/>
      <c r="E71" s="2849">
        <f>E70/C70</f>
        <v/>
      </c>
      <c r="F71" s="2806" t="n"/>
      <c r="G71" s="2848" t="n"/>
      <c r="H71" s="2848" t="n"/>
      <c r="I71" s="2849">
        <f>I70/G70</f>
        <v/>
      </c>
      <c r="J71" s="2806" t="n"/>
      <c r="K71" s="2848" t="n"/>
      <c r="L71" s="2848" t="n"/>
      <c r="M71" s="2849">
        <f>M70/K70</f>
        <v/>
      </c>
      <c r="N71" s="2808" t="n"/>
      <c r="O71" s="2848" t="n"/>
      <c r="P71" s="2848" t="n"/>
      <c r="Q71" s="2849">
        <f>Q70/O70</f>
        <v/>
      </c>
      <c r="R71" s="2806" t="n"/>
      <c r="S71" s="2848" t="n"/>
      <c r="T71" s="2848" t="n"/>
      <c r="U71" s="2849">
        <f>U70/S70</f>
        <v/>
      </c>
      <c r="V71" s="2808" t="n"/>
      <c r="W71" s="2848" t="n"/>
      <c r="X71" s="2848" t="n"/>
      <c r="Y71" s="2849">
        <f>Y70/W70</f>
        <v/>
      </c>
      <c r="Z71" s="2808" t="n"/>
      <c r="AA71" s="2848" t="n"/>
      <c r="AB71" s="2848" t="n"/>
      <c r="AC71" s="2849">
        <f>AC70/AA70</f>
        <v/>
      </c>
      <c r="AD71" s="2808" t="n"/>
      <c r="AE71" s="2848" t="n"/>
      <c r="AF71" s="2848" t="n"/>
      <c r="AG71" s="2849">
        <f>AG70/AE70</f>
        <v/>
      </c>
      <c r="AH71" s="2808" t="n"/>
      <c r="AI71" s="2848" t="n"/>
      <c r="AJ71" s="2848" t="n"/>
      <c r="AK71" s="2849">
        <f>AK70/AI70</f>
        <v/>
      </c>
      <c r="AL71" s="2806" t="n"/>
      <c r="AM71" s="2848" t="n"/>
      <c r="AN71" s="2848" t="n"/>
      <c r="AO71" s="2849">
        <f>AO70/AM70</f>
        <v/>
      </c>
      <c r="AP71" s="2806" t="n"/>
      <c r="AQ71" s="2848" t="n"/>
      <c r="AR71" s="2848" t="n"/>
      <c r="AS71" s="2849">
        <f>AS70/AQ70</f>
        <v/>
      </c>
      <c r="AT71" s="2806" t="n"/>
      <c r="AU71" s="2848" t="n"/>
      <c r="AV71" s="2848" t="n"/>
      <c r="AW71" s="2849">
        <f>AW70/AU70</f>
        <v/>
      </c>
      <c r="AX71" s="2806" t="n"/>
      <c r="AY71" s="2847" t="n"/>
      <c r="AZ71" s="2847" t="n"/>
      <c r="BA71" s="2849">
        <f>BA70/AY70</f>
        <v/>
      </c>
    </row>
    <row customFormat="1" outlineLevel="1" r="72" s="2808" spans="1:55">
      <c r="A72" s="2850" t="n"/>
      <c r="B72" s="2806" t="n"/>
      <c r="E72" s="2836" t="n"/>
      <c r="F72" s="2806" t="n"/>
      <c r="I72" s="2836" t="n"/>
      <c r="J72" s="2806" t="n"/>
      <c r="M72" s="2836" t="n"/>
      <c r="N72" s="2808" t="n"/>
      <c r="Q72" s="2836" t="n"/>
      <c r="R72" s="2806" t="n"/>
      <c r="U72" s="2836" t="n"/>
      <c r="V72" s="2808" t="n"/>
      <c r="Y72" s="2836" t="n"/>
      <c r="Z72" s="2808" t="n"/>
      <c r="AC72" s="2836" t="n"/>
      <c r="AD72" s="2808" t="n"/>
      <c r="AG72" s="2836" t="n"/>
      <c r="AH72" s="2808" t="n"/>
      <c r="AK72" s="2836" t="n"/>
      <c r="AL72" s="2806" t="n"/>
      <c r="AO72" s="2836" t="n"/>
      <c r="AP72" s="2806" t="n"/>
      <c r="AS72" s="2836" t="n"/>
      <c r="AT72" s="2806" t="n"/>
      <c r="AW72" s="2836" t="n"/>
      <c r="AX72" s="2806" t="n"/>
      <c r="AY72" s="2806" t="n"/>
      <c r="AZ72" s="2806" t="n"/>
      <c r="BA72" s="2836" t="n"/>
    </row>
    <row customFormat="1" outlineLevel="1" r="73" s="2808" spans="1:55">
      <c r="A73" s="2837" t="s">
        <v>378</v>
      </c>
      <c r="B73" s="2781" t="n"/>
      <c r="C73" s="2838" t="s">
        <v>62</v>
      </c>
      <c r="F73" s="2781" t="n"/>
      <c r="G73" s="2838" t="s">
        <v>63</v>
      </c>
      <c r="J73" s="2781" t="n"/>
      <c r="K73" s="2838" t="s">
        <v>64</v>
      </c>
      <c r="N73" s="2839" t="n"/>
      <c r="O73" s="2838" t="s">
        <v>174</v>
      </c>
      <c r="R73" s="2781" t="n"/>
      <c r="S73" s="2838" t="s">
        <v>66</v>
      </c>
      <c r="V73" s="2839" t="n"/>
      <c r="W73" s="2838" t="s">
        <v>67</v>
      </c>
      <c r="Z73" s="2839" t="n"/>
      <c r="AA73" s="2838" t="s">
        <v>69</v>
      </c>
      <c r="AD73" s="2839" t="n"/>
      <c r="AE73" s="2838" t="s">
        <v>70</v>
      </c>
      <c r="AH73" s="2839" t="n"/>
      <c r="AI73" s="2838" t="s">
        <v>71</v>
      </c>
      <c r="AL73" s="2781" t="n"/>
      <c r="AM73" s="2838" t="s">
        <v>72</v>
      </c>
      <c r="AP73" s="2781" t="n"/>
      <c r="AQ73" s="2838" t="s">
        <v>73</v>
      </c>
      <c r="AT73" s="2781" t="n"/>
      <c r="AU73" s="2838" t="s">
        <v>74</v>
      </c>
      <c r="AX73" s="2781" t="n"/>
      <c r="AY73" s="2838" t="s">
        <v>173</v>
      </c>
    </row>
    <row customFormat="1" outlineLevel="1" r="74" s="2808" spans="1:55">
      <c r="A74" s="2840" t="n"/>
      <c r="B74" s="2785" t="n"/>
      <c r="C74" s="2840" t="s">
        <v>89</v>
      </c>
      <c r="D74" s="2840" t="s">
        <v>152</v>
      </c>
      <c r="E74" s="2840" t="s">
        <v>153</v>
      </c>
      <c r="F74" s="2785" t="n"/>
      <c r="G74" s="2840" t="s">
        <v>89</v>
      </c>
      <c r="H74" s="2840" t="s">
        <v>152</v>
      </c>
      <c r="I74" s="2840" t="s">
        <v>153</v>
      </c>
      <c r="J74" s="2785" t="n"/>
      <c r="K74" s="2840" t="s">
        <v>89</v>
      </c>
      <c r="L74" s="2840" t="s">
        <v>152</v>
      </c>
      <c r="M74" s="2840" t="s">
        <v>153</v>
      </c>
      <c r="N74" s="2839" t="n"/>
      <c r="O74" s="2840" t="s">
        <v>89</v>
      </c>
      <c r="P74" s="2840" t="s">
        <v>152</v>
      </c>
      <c r="Q74" s="2840" t="s">
        <v>153</v>
      </c>
      <c r="R74" s="2785" t="n"/>
      <c r="S74" s="2840" t="s">
        <v>89</v>
      </c>
      <c r="T74" s="2840" t="s">
        <v>152</v>
      </c>
      <c r="U74" s="2840" t="s">
        <v>153</v>
      </c>
      <c r="V74" s="2839" t="n"/>
      <c r="W74" s="2840" t="s">
        <v>89</v>
      </c>
      <c r="X74" s="2840" t="s">
        <v>152</v>
      </c>
      <c r="Y74" s="2840" t="s">
        <v>153</v>
      </c>
      <c r="Z74" s="2839" t="n"/>
      <c r="AA74" s="2840" t="s">
        <v>89</v>
      </c>
      <c r="AB74" s="2840" t="s">
        <v>152</v>
      </c>
      <c r="AC74" s="2840" t="s">
        <v>153</v>
      </c>
      <c r="AD74" s="2839" t="n"/>
      <c r="AE74" s="2840" t="s">
        <v>89</v>
      </c>
      <c r="AF74" s="2840" t="s">
        <v>152</v>
      </c>
      <c r="AG74" s="2840" t="s">
        <v>153</v>
      </c>
      <c r="AH74" s="2839" t="n"/>
      <c r="AI74" s="2840" t="s">
        <v>89</v>
      </c>
      <c r="AJ74" s="2840" t="s">
        <v>152</v>
      </c>
      <c r="AK74" s="2840" t="s">
        <v>153</v>
      </c>
      <c r="AL74" s="2785" t="n"/>
      <c r="AM74" s="2840" t="s">
        <v>89</v>
      </c>
      <c r="AN74" s="2840" t="s">
        <v>152</v>
      </c>
      <c r="AO74" s="2840" t="s">
        <v>153</v>
      </c>
      <c r="AP74" s="2785" t="n"/>
      <c r="AQ74" s="2840" t="s">
        <v>89</v>
      </c>
      <c r="AR74" s="2840" t="s">
        <v>152</v>
      </c>
      <c r="AS74" s="2840" t="s">
        <v>153</v>
      </c>
      <c r="AT74" s="2785" t="n"/>
      <c r="AU74" s="2840" t="s">
        <v>89</v>
      </c>
      <c r="AV74" s="2840" t="s">
        <v>152</v>
      </c>
      <c r="AW74" s="2840" t="s">
        <v>153</v>
      </c>
      <c r="AX74" s="2785" t="n"/>
      <c r="AY74" s="2840" t="s">
        <v>89</v>
      </c>
      <c r="AZ74" s="2840" t="s">
        <v>152</v>
      </c>
      <c r="BA74" s="2840" t="s">
        <v>153</v>
      </c>
    </row>
    <row customFormat="1" outlineLevel="1" r="75" s="2808" spans="1:55">
      <c r="A75" s="2841" t="s">
        <v>187</v>
      </c>
      <c r="B75" s="2789" t="n"/>
      <c r="C75" s="2842" t="n"/>
      <c r="D75" s="2842">
        <f>' SET Cost(staf+OS)'!D104/1000</f>
        <v/>
      </c>
      <c r="E75" s="2842" t="n"/>
      <c r="F75" s="2789" t="n"/>
      <c r="G75" s="2842" t="n"/>
      <c r="H75" s="2842">
        <f>' SET Cost(staf+OS)'!E104/1000</f>
        <v/>
      </c>
      <c r="I75" s="2842" t="n"/>
      <c r="J75" s="2789" t="n"/>
      <c r="K75" s="2842" t="n"/>
      <c r="L75" s="2842">
        <f>' SET Cost(staf+OS)'!F104/1000</f>
        <v/>
      </c>
      <c r="M75" s="2842" t="n"/>
      <c r="N75" s="2799" t="n"/>
      <c r="O75" s="2842" t="n"/>
      <c r="P75" s="2842">
        <f>' SET Cost(staf+OS)'!G104/1000</f>
        <v/>
      </c>
      <c r="Q75" s="2842" t="n"/>
      <c r="R75" s="2789" t="n"/>
      <c r="S75" s="2842" t="n"/>
      <c r="T75" s="2842">
        <f>' SET Cost(staf+OS)'!H104/1000</f>
        <v/>
      </c>
      <c r="U75" s="2842" t="n"/>
      <c r="V75" s="2799" t="n"/>
      <c r="W75" s="2842" t="n"/>
      <c r="X75" s="2842">
        <f>' SET Cost(staf+OS)'!I104/1000</f>
        <v/>
      </c>
      <c r="Y75" s="2842" t="n"/>
      <c r="Z75" s="2799" t="n"/>
      <c r="AA75" s="2842" t="n"/>
      <c r="AB75" s="2842">
        <f>' SET Cost(staf+OS)'!J104/1000</f>
        <v/>
      </c>
      <c r="AC75" s="2842" t="n"/>
      <c r="AD75" s="2799" t="n"/>
      <c r="AE75" s="2842" t="n"/>
      <c r="AF75" s="2842">
        <f>' SET Cost(staf+OS)'!K104/1000</f>
        <v/>
      </c>
      <c r="AG75" s="2842" t="n"/>
      <c r="AH75" s="2799" t="n"/>
      <c r="AI75" s="2842" t="n"/>
      <c r="AJ75" s="2842">
        <f>' SET Cost(staf+OS)'!L104/1000</f>
        <v/>
      </c>
      <c r="AK75" s="2842" t="n"/>
      <c r="AL75" s="2789" t="n"/>
      <c r="AM75" s="2842" t="n"/>
      <c r="AN75" s="2842">
        <f>' SET Cost(staf+OS)'!M104/1000</f>
        <v/>
      </c>
      <c r="AO75" s="2842" t="n"/>
      <c r="AP75" s="2789" t="n"/>
      <c r="AQ75" s="2842" t="n"/>
      <c r="AR75" s="2842">
        <f>' SET Cost(staf+OS)'!N104/1000</f>
        <v/>
      </c>
      <c r="AS75" s="2842" t="n"/>
      <c r="AT75" s="2789" t="n"/>
      <c r="AU75" s="2842" t="n"/>
      <c r="AV75" s="2842">
        <f>' SET Cost(staf+OS)'!O104/1000</f>
        <v/>
      </c>
      <c r="AW75" s="2842" t="n"/>
      <c r="AX75" s="2789" t="n"/>
      <c r="AY75" s="2841" t="n"/>
      <c r="AZ75" s="2841">
        <f>SUM(C75:AW75)</f>
        <v/>
      </c>
      <c r="BA75" s="2841" t="n"/>
    </row>
    <row customFormat="1" outlineLevel="1" r="76" s="2808" spans="1:55">
      <c r="A76" s="2841" t="s">
        <v>189</v>
      </c>
      <c r="B76" s="2789" t="n"/>
      <c r="C76" s="2842" t="n"/>
      <c r="D76" s="2842">
        <f>' SET Cost(staf+OS)'!D105/1000</f>
        <v/>
      </c>
      <c r="E76" s="2842" t="n"/>
      <c r="F76" s="2789" t="n"/>
      <c r="G76" s="2842" t="n"/>
      <c r="H76" s="2842">
        <f>' SET Cost(staf+OS)'!E105/1000</f>
        <v/>
      </c>
      <c r="I76" s="2842" t="n"/>
      <c r="J76" s="2789" t="n"/>
      <c r="K76" s="2842" t="n"/>
      <c r="L76" s="2842">
        <f>' SET Cost(staf+OS)'!F105/1000</f>
        <v/>
      </c>
      <c r="M76" s="2842" t="n"/>
      <c r="N76" s="2799" t="n"/>
      <c r="O76" s="2842" t="n"/>
      <c r="P76" s="2842">
        <f>' SET Cost(staf+OS)'!G105/1000</f>
        <v/>
      </c>
      <c r="Q76" s="2842" t="n"/>
      <c r="R76" s="2789" t="n"/>
      <c r="S76" s="2842" t="n"/>
      <c r="T76" s="2842">
        <f>' SET Cost(staf+OS)'!H105/1000</f>
        <v/>
      </c>
      <c r="U76" s="2842" t="n"/>
      <c r="V76" s="2799" t="n"/>
      <c r="W76" s="2842" t="n"/>
      <c r="X76" s="2842">
        <f>' SET Cost(staf+OS)'!I105/1000</f>
        <v/>
      </c>
      <c r="Y76" s="2842" t="n"/>
      <c r="Z76" s="2799" t="n"/>
      <c r="AA76" s="2842" t="n"/>
      <c r="AB76" s="2842">
        <f>' SET Cost(staf+OS)'!J105/1000</f>
        <v/>
      </c>
      <c r="AC76" s="2842" t="n"/>
      <c r="AD76" s="2799" t="n"/>
      <c r="AE76" s="2842" t="n"/>
      <c r="AF76" s="2842">
        <f>' SET Cost(staf+OS)'!K105/1000</f>
        <v/>
      </c>
      <c r="AG76" s="2842" t="n"/>
      <c r="AH76" s="2799" t="n"/>
      <c r="AI76" s="2842" t="n"/>
      <c r="AJ76" s="2842">
        <f>' SET Cost(staf+OS)'!L105/1000</f>
        <v/>
      </c>
      <c r="AK76" s="2842" t="n"/>
      <c r="AL76" s="2789" t="n"/>
      <c r="AM76" s="2842" t="n"/>
      <c r="AN76" s="2842">
        <f>' SET Cost(staf+OS)'!M105/1000</f>
        <v/>
      </c>
      <c r="AO76" s="2842" t="n"/>
      <c r="AP76" s="2789" t="n"/>
      <c r="AQ76" s="2842" t="n"/>
      <c r="AR76" s="2842">
        <f>' SET Cost(staf+OS)'!N105/1000</f>
        <v/>
      </c>
      <c r="AS76" s="2842" t="n"/>
      <c r="AT76" s="2789" t="n"/>
      <c r="AU76" s="2842" t="n"/>
      <c r="AV76" s="2842">
        <f>' SET Cost(staf+OS)'!O105/1000</f>
        <v/>
      </c>
      <c r="AW76" s="2842" t="n"/>
      <c r="AX76" s="2789" t="n"/>
      <c r="AY76" s="2841" t="n"/>
      <c r="AZ76" s="2841">
        <f>SUM(C76:AW76)</f>
        <v/>
      </c>
      <c r="BA76" s="2841" t="n"/>
    </row>
    <row customFormat="1" outlineLevel="1" r="77" s="2808" spans="1:55">
      <c r="A77" s="2841" t="s">
        <v>252</v>
      </c>
      <c r="B77" s="2789" t="n"/>
      <c r="C77" s="2842" t="n"/>
      <c r="D77" s="2842">
        <f>' SET Cost(staf+OS)'!D106/1000</f>
        <v/>
      </c>
      <c r="E77" s="2842" t="n"/>
      <c r="F77" s="2789" t="n"/>
      <c r="G77" s="2842" t="n"/>
      <c r="H77" s="2842">
        <f>' SET Cost(staf+OS)'!E106/1000</f>
        <v/>
      </c>
      <c r="I77" s="2842" t="n"/>
      <c r="J77" s="2789" t="n"/>
      <c r="K77" s="2842" t="n"/>
      <c r="L77" s="2842">
        <f>' SET Cost(staf+OS)'!F106/1000</f>
        <v/>
      </c>
      <c r="M77" s="2842" t="n"/>
      <c r="N77" s="2799" t="n"/>
      <c r="O77" s="2842" t="n"/>
      <c r="P77" s="2842">
        <f>' SET Cost(staf+OS)'!G106/1000</f>
        <v/>
      </c>
      <c r="Q77" s="2842" t="n"/>
      <c r="R77" s="2789" t="n"/>
      <c r="S77" s="2842" t="n"/>
      <c r="T77" s="2842">
        <f>' SET Cost(staf+OS)'!H106/1000</f>
        <v/>
      </c>
      <c r="U77" s="2842" t="n"/>
      <c r="V77" s="2799" t="n"/>
      <c r="W77" s="2842" t="n"/>
      <c r="X77" s="2842">
        <f>' SET Cost(staf+OS)'!I106/1000</f>
        <v/>
      </c>
      <c r="Y77" s="2842" t="n"/>
      <c r="Z77" s="2799" t="n"/>
      <c r="AA77" s="2842" t="n"/>
      <c r="AB77" s="2842">
        <f>' SET Cost(staf+OS)'!J106/1000</f>
        <v/>
      </c>
      <c r="AC77" s="2842" t="n"/>
      <c r="AD77" s="2799" t="n"/>
      <c r="AE77" s="2842" t="n"/>
      <c r="AF77" s="2842">
        <f>' SET Cost(staf+OS)'!K106/1000</f>
        <v/>
      </c>
      <c r="AG77" s="2842" t="n"/>
      <c r="AH77" s="2799" t="n"/>
      <c r="AI77" s="2842" t="n"/>
      <c r="AJ77" s="2842">
        <f>' SET Cost(staf+OS)'!L106/1000</f>
        <v/>
      </c>
      <c r="AK77" s="2842" t="n"/>
      <c r="AL77" s="2789" t="n"/>
      <c r="AM77" s="2842" t="n"/>
      <c r="AN77" s="2842">
        <f>' SET Cost(staf+OS)'!M106/1000</f>
        <v/>
      </c>
      <c r="AO77" s="2842" t="n"/>
      <c r="AP77" s="2789" t="n"/>
      <c r="AQ77" s="2842" t="n"/>
      <c r="AR77" s="2842">
        <f>' SET Cost(staf+OS)'!N106/1000</f>
        <v/>
      </c>
      <c r="AS77" s="2842" t="n"/>
      <c r="AT77" s="2789" t="n"/>
      <c r="AU77" s="2842" t="n"/>
      <c r="AV77" s="2842">
        <f>' SET Cost(staf+OS)'!O106/1000</f>
        <v/>
      </c>
      <c r="AW77" s="2842" t="n"/>
      <c r="AX77" s="2789" t="n"/>
      <c r="AY77" s="2841" t="n"/>
      <c r="AZ77" s="2841">
        <f>SUM(C77:AW77)</f>
        <v/>
      </c>
      <c r="BA77" s="2841" t="n"/>
    </row>
    <row customFormat="1" outlineLevel="1" r="78" s="2808" spans="1:55">
      <c r="A78" s="2841" t="s">
        <v>191</v>
      </c>
      <c r="B78" s="2789" t="n"/>
      <c r="C78" s="2842" t="n"/>
      <c r="D78" s="2842">
        <f>' SET Cost(staf+OS)'!D107/1000</f>
        <v/>
      </c>
      <c r="E78" s="2842" t="n"/>
      <c r="F78" s="2789" t="n"/>
      <c r="G78" s="2842" t="n"/>
      <c r="H78" s="2842">
        <f>' SET Cost(staf+OS)'!E107/1000</f>
        <v/>
      </c>
      <c r="I78" s="2842" t="n"/>
      <c r="J78" s="2789" t="n"/>
      <c r="K78" s="2842" t="n"/>
      <c r="L78" s="2842">
        <f>' SET Cost(staf+OS)'!F107/1000</f>
        <v/>
      </c>
      <c r="M78" s="2842" t="n"/>
      <c r="N78" s="2799" t="n"/>
      <c r="O78" s="2842" t="n"/>
      <c r="P78" s="2842">
        <f>' SET Cost(staf+OS)'!G107/1000</f>
        <v/>
      </c>
      <c r="Q78" s="2842" t="n"/>
      <c r="R78" s="2789" t="n"/>
      <c r="S78" s="2842" t="n"/>
      <c r="T78" s="2842">
        <f>' SET Cost(staf+OS)'!H107/1000</f>
        <v/>
      </c>
      <c r="U78" s="2842" t="n"/>
      <c r="V78" s="2799" t="n"/>
      <c r="W78" s="2842" t="n"/>
      <c r="X78" s="2842">
        <f>' SET Cost(staf+OS)'!I107/1000</f>
        <v/>
      </c>
      <c r="Y78" s="2842" t="n"/>
      <c r="Z78" s="2799" t="n"/>
      <c r="AA78" s="2842" t="n"/>
      <c r="AB78" s="2842">
        <f>' SET Cost(staf+OS)'!J107/1000</f>
        <v/>
      </c>
      <c r="AC78" s="2842" t="n"/>
      <c r="AD78" s="2799" t="n"/>
      <c r="AE78" s="2842" t="n"/>
      <c r="AF78" s="2842">
        <f>' SET Cost(staf+OS)'!K107/1000</f>
        <v/>
      </c>
      <c r="AG78" s="2842" t="n"/>
      <c r="AH78" s="2799" t="n"/>
      <c r="AI78" s="2842" t="n"/>
      <c r="AJ78" s="2842">
        <f>' SET Cost(staf+OS)'!L107/1000</f>
        <v/>
      </c>
      <c r="AK78" s="2842" t="n"/>
      <c r="AL78" s="2789" t="n"/>
      <c r="AM78" s="2842" t="n"/>
      <c r="AN78" s="2842">
        <f>' SET Cost(staf+OS)'!M107/1000</f>
        <v/>
      </c>
      <c r="AO78" s="2842" t="n"/>
      <c r="AP78" s="2789" t="n"/>
      <c r="AQ78" s="2842" t="n"/>
      <c r="AR78" s="2842">
        <f>' SET Cost(staf+OS)'!N107/1000</f>
        <v/>
      </c>
      <c r="AS78" s="2842" t="n"/>
      <c r="AT78" s="2789" t="n"/>
      <c r="AU78" s="2842" t="n"/>
      <c r="AV78" s="2842">
        <f>' SET Cost(staf+OS)'!O107/1000</f>
        <v/>
      </c>
      <c r="AW78" s="2842" t="n"/>
      <c r="AX78" s="2789" t="n"/>
      <c r="AY78" s="2841" t="n"/>
      <c r="AZ78" s="2841">
        <f>SUM(C78:AW78)</f>
        <v/>
      </c>
      <c r="BA78" s="2841" t="n"/>
    </row>
    <row customFormat="1" outlineLevel="1" r="79" s="2808" spans="1:55">
      <c r="A79" s="2841" t="s">
        <v>192</v>
      </c>
      <c r="B79" s="2789" t="n"/>
      <c r="C79" s="2842" t="n"/>
      <c r="D79" s="2842">
        <f>' SET Cost(staf+OS)'!D108/1000</f>
        <v/>
      </c>
      <c r="E79" s="2842" t="n"/>
      <c r="F79" s="2789" t="n"/>
      <c r="G79" s="2842" t="n"/>
      <c r="H79" s="2842">
        <f>' SET Cost(staf+OS)'!E108/1000</f>
        <v/>
      </c>
      <c r="I79" s="2842" t="n"/>
      <c r="J79" s="2789" t="n"/>
      <c r="K79" s="2842" t="n"/>
      <c r="L79" s="2842">
        <f>' SET Cost(staf+OS)'!F108/1000</f>
        <v/>
      </c>
      <c r="M79" s="2842" t="n"/>
      <c r="N79" s="2799" t="n"/>
      <c r="O79" s="2842" t="n"/>
      <c r="P79" s="2842">
        <f>' SET Cost(staf+OS)'!G108/1000</f>
        <v/>
      </c>
      <c r="Q79" s="2842" t="n"/>
      <c r="R79" s="2789" t="n"/>
      <c r="S79" s="2842" t="n"/>
      <c r="T79" s="2842">
        <f>' SET Cost(staf+OS)'!H108/1000</f>
        <v/>
      </c>
      <c r="U79" s="2842" t="n"/>
      <c r="V79" s="2799" t="n"/>
      <c r="W79" s="2842" t="n"/>
      <c r="X79" s="2842">
        <f>' SET Cost(staf+OS)'!I108/1000</f>
        <v/>
      </c>
      <c r="Y79" s="2842" t="n"/>
      <c r="Z79" s="2799" t="n"/>
      <c r="AA79" s="2842" t="n"/>
      <c r="AB79" s="2842">
        <f>' SET Cost(staf+OS)'!J108/1000</f>
        <v/>
      </c>
      <c r="AC79" s="2842" t="n"/>
      <c r="AD79" s="2799" t="n"/>
      <c r="AE79" s="2842" t="n"/>
      <c r="AF79" s="2842">
        <f>' SET Cost(staf+OS)'!K108/1000</f>
        <v/>
      </c>
      <c r="AG79" s="2842" t="n"/>
      <c r="AH79" s="2799" t="n"/>
      <c r="AI79" s="2842" t="n"/>
      <c r="AJ79" s="2842">
        <f>' SET Cost(staf+OS)'!L108/1000</f>
        <v/>
      </c>
      <c r="AK79" s="2842" t="n"/>
      <c r="AL79" s="2789" t="n"/>
      <c r="AM79" s="2842" t="n"/>
      <c r="AN79" s="2842">
        <f>' SET Cost(staf+OS)'!M108/1000</f>
        <v/>
      </c>
      <c r="AO79" s="2842" t="n"/>
      <c r="AP79" s="2789" t="n"/>
      <c r="AQ79" s="2842" t="n"/>
      <c r="AR79" s="2842">
        <f>' SET Cost(staf+OS)'!N108/1000</f>
        <v/>
      </c>
      <c r="AS79" s="2842" t="n"/>
      <c r="AT79" s="2789" t="n"/>
      <c r="AU79" s="2842" t="n"/>
      <c r="AV79" s="2842">
        <f>' SET Cost(staf+OS)'!O108/1000</f>
        <v/>
      </c>
      <c r="AW79" s="2842" t="n"/>
      <c r="AX79" s="2789" t="n"/>
      <c r="AY79" s="2841" t="n"/>
      <c r="AZ79" s="2841">
        <f>SUM(C79:AW79)</f>
        <v/>
      </c>
      <c r="BA79" s="2841" t="n"/>
    </row>
    <row customFormat="1" outlineLevel="1" r="80" s="2808" spans="1:55">
      <c r="A80" s="2841" t="s">
        <v>194</v>
      </c>
      <c r="B80" s="2789" t="n"/>
      <c r="C80" s="2842" t="n"/>
      <c r="D80" s="2842">
        <f>' SET Cost(staf+OS)'!D109/1000+'OS&amp;Travel Exp'!C65/1000</f>
        <v/>
      </c>
      <c r="E80" s="2842" t="n"/>
      <c r="F80" s="2789" t="n"/>
      <c r="G80" s="2842" t="n"/>
      <c r="H80" s="2842">
        <f>' SET Cost(staf+OS)'!E109/1000+'OS&amp;Travel Exp'!D65/1000</f>
        <v/>
      </c>
      <c r="I80" s="2842" t="n"/>
      <c r="J80" s="2789" t="n"/>
      <c r="K80" s="2842" t="n"/>
      <c r="L80" s="2842">
        <f>' SET Cost(staf+OS)'!F109/1000+'OS&amp;Travel Exp'!E65/1000</f>
        <v/>
      </c>
      <c r="M80" s="2842" t="n"/>
      <c r="N80" s="2799" t="n"/>
      <c r="O80" s="2842" t="n"/>
      <c r="P80" s="2842">
        <f>' SET Cost(staf+OS)'!G109/1000+'OS&amp;Travel Exp'!F65/1000</f>
        <v/>
      </c>
      <c r="Q80" s="2842" t="n"/>
      <c r="R80" s="2789" t="n"/>
      <c r="S80" s="2842" t="n"/>
      <c r="T80" s="2842">
        <f>' SET Cost(staf+OS)'!H109/1000+'OS&amp;Travel Exp'!G65/1000</f>
        <v/>
      </c>
      <c r="U80" s="2842" t="n"/>
      <c r="V80" s="2799" t="n"/>
      <c r="W80" s="2842" t="n"/>
      <c r="X80" s="2842">
        <f>' SET Cost(staf+OS)'!I109/1000+'OS&amp;Travel Exp'!H65/1000</f>
        <v/>
      </c>
      <c r="Y80" s="2842" t="n"/>
      <c r="Z80" s="2799" t="n"/>
      <c r="AA80" s="2842" t="n"/>
      <c r="AB80" s="2842">
        <f>' SET Cost(staf+OS)'!J109/1000+'OS&amp;Travel Exp'!I65/1000</f>
        <v/>
      </c>
      <c r="AC80" s="2842" t="n"/>
      <c r="AD80" s="2799" t="n"/>
      <c r="AE80" s="2842" t="n"/>
      <c r="AF80" s="2842">
        <f>' SET Cost(staf+OS)'!K109/1000+'OS&amp;Travel Exp'!J65/1000</f>
        <v/>
      </c>
      <c r="AG80" s="2842" t="n"/>
      <c r="AH80" s="2799" t="n"/>
      <c r="AI80" s="2842" t="n"/>
      <c r="AJ80" s="2842">
        <f>' SET Cost(staf+OS)'!L109/1000+'OS&amp;Travel Exp'!K65/1000</f>
        <v/>
      </c>
      <c r="AK80" s="2842" t="n"/>
      <c r="AL80" s="2789" t="n"/>
      <c r="AM80" s="2842" t="n"/>
      <c r="AN80" s="2842">
        <f>' SET Cost(staf+OS)'!M109/1000+'OS&amp;Travel Exp'!L65/1000</f>
        <v/>
      </c>
      <c r="AO80" s="2842" t="n"/>
      <c r="AP80" s="2789" t="n"/>
      <c r="AQ80" s="2842" t="n"/>
      <c r="AR80" s="2842">
        <f>' SET Cost(staf+OS)'!N109/1000+'OS&amp;Travel Exp'!M65/1000</f>
        <v/>
      </c>
      <c r="AS80" s="2842" t="n"/>
      <c r="AT80" s="2789" t="n"/>
      <c r="AU80" s="2842" t="n"/>
      <c r="AV80" s="2842">
        <f>' SET Cost(staf+OS)'!O109/1000+'OS&amp;Travel Exp'!N65/1000</f>
        <v/>
      </c>
      <c r="AW80" s="2842" t="n"/>
      <c r="AX80" s="2789" t="n"/>
      <c r="AY80" s="2841" t="n"/>
      <c r="AZ80" s="2841">
        <f>SUM(C80:AW80)</f>
        <v/>
      </c>
      <c r="BA80" s="2841" t="n"/>
    </row>
    <row customFormat="1" outlineLevel="1" r="81" s="2808" spans="1:55">
      <c r="A81" s="2841" t="s">
        <v>195</v>
      </c>
      <c r="B81" s="2789" t="n"/>
      <c r="C81" s="2842" t="n"/>
      <c r="D81" s="2842">
        <f>' SET Cost(staf+OS)'!D110/1000+'OS&amp;Travel Exp'!C42/1000</f>
        <v/>
      </c>
      <c r="E81" s="2842" t="n"/>
      <c r="F81" s="2789" t="n"/>
      <c r="G81" s="2842" t="n"/>
      <c r="H81" s="2842">
        <f>' SET Cost(staf+OS)'!E110/1000+'OS&amp;Travel Exp'!D42/1000</f>
        <v/>
      </c>
      <c r="I81" s="2842" t="n"/>
      <c r="J81" s="2789" t="n"/>
      <c r="K81" s="2842" t="n"/>
      <c r="L81" s="2842">
        <f>' SET Cost(staf+OS)'!F110/1000+'OS&amp;Travel Exp'!E42/1000</f>
        <v/>
      </c>
      <c r="M81" s="2842" t="n"/>
      <c r="N81" s="2799" t="n"/>
      <c r="O81" s="2842" t="n"/>
      <c r="P81" s="2842">
        <f>' SET Cost(staf+OS)'!G110/1000+'OS&amp;Travel Exp'!F42/1000</f>
        <v/>
      </c>
      <c r="Q81" s="2842" t="n"/>
      <c r="R81" s="2789" t="n"/>
      <c r="S81" s="2842" t="n"/>
      <c r="T81" s="2842">
        <f>' SET Cost(staf+OS)'!H110/1000+'OS&amp;Travel Exp'!G42/1000</f>
        <v/>
      </c>
      <c r="U81" s="2842" t="n"/>
      <c r="V81" s="2799" t="n"/>
      <c r="W81" s="2842" t="n"/>
      <c r="X81" s="2842">
        <f>' SET Cost(staf+OS)'!I110/1000+'OS&amp;Travel Exp'!H42/1000</f>
        <v/>
      </c>
      <c r="Y81" s="2842" t="n"/>
      <c r="Z81" s="2799" t="n"/>
      <c r="AA81" s="2842" t="n"/>
      <c r="AB81" s="2842">
        <f>' SET Cost(staf+OS)'!J110/1000+'OS&amp;Travel Exp'!I42/1000</f>
        <v/>
      </c>
      <c r="AC81" s="2842" t="n"/>
      <c r="AD81" s="2799" t="n"/>
      <c r="AE81" s="2842" t="n"/>
      <c r="AF81" s="2842">
        <f>' SET Cost(staf+OS)'!K110/1000+'OS&amp;Travel Exp'!J42/1000</f>
        <v/>
      </c>
      <c r="AG81" s="2842" t="n"/>
      <c r="AH81" s="2799" t="n"/>
      <c r="AI81" s="2842" t="n"/>
      <c r="AJ81" s="2842">
        <f>' SET Cost(staf+OS)'!L110/1000+'OS&amp;Travel Exp'!K42/1000</f>
        <v/>
      </c>
      <c r="AK81" s="2842" t="n"/>
      <c r="AL81" s="2789" t="n"/>
      <c r="AM81" s="2842" t="n"/>
      <c r="AN81" s="2842">
        <f>' SET Cost(staf+OS)'!M110/1000+'OS&amp;Travel Exp'!L42/1000</f>
        <v/>
      </c>
      <c r="AO81" s="2842" t="n"/>
      <c r="AP81" s="2789" t="n"/>
      <c r="AQ81" s="2842" t="n"/>
      <c r="AR81" s="2842">
        <f>' SET Cost(staf+OS)'!N110/1000+'OS&amp;Travel Exp'!M42/1000</f>
        <v/>
      </c>
      <c r="AS81" s="2842" t="n"/>
      <c r="AT81" s="2789" t="n"/>
      <c r="AU81" s="2842" t="n"/>
      <c r="AV81" s="2842">
        <f>' SET Cost(staf+OS)'!O110/1000+'OS&amp;Travel Exp'!N42/1000</f>
        <v/>
      </c>
      <c r="AW81" s="2842" t="n"/>
      <c r="AX81" s="2789" t="n"/>
      <c r="AY81" s="2841" t="n"/>
      <c r="AZ81" s="2841">
        <f>SUM(C81:AW81)</f>
        <v/>
      </c>
      <c r="BA81" s="2841" t="n"/>
    </row>
    <row customFormat="1" outlineLevel="1" r="82" s="2808" spans="1:55">
      <c r="A82" s="2843" t="s">
        <v>366</v>
      </c>
      <c r="B82" s="2793" t="n"/>
      <c r="C82" s="2844" t="n"/>
      <c r="D82" s="2844">
        <f>'OS&amp;Travel Exp'!C17</f>
        <v/>
      </c>
      <c r="E82" s="2844" t="n"/>
      <c r="F82" s="2793" t="n"/>
      <c r="G82" s="2844" t="n"/>
      <c r="H82" s="2844">
        <f>'OS&amp;Travel Exp'!D17</f>
        <v/>
      </c>
      <c r="I82" s="2844" t="n"/>
      <c r="J82" s="2793" t="n"/>
      <c r="K82" s="2844" t="n"/>
      <c r="L82" s="2844">
        <f>'OS&amp;Travel Exp'!E17</f>
        <v/>
      </c>
      <c r="M82" s="2844" t="n"/>
      <c r="N82" s="2795" t="n"/>
      <c r="O82" s="2844" t="n"/>
      <c r="P82" s="2844">
        <f>'OS&amp;Travel Exp'!F17</f>
        <v/>
      </c>
      <c r="Q82" s="2844" t="n"/>
      <c r="R82" s="2793" t="n"/>
      <c r="S82" s="2844" t="n"/>
      <c r="T82" s="2844">
        <f>'OS&amp;Travel Exp'!G17</f>
        <v/>
      </c>
      <c r="U82" s="2844" t="n"/>
      <c r="V82" s="2795" t="n"/>
      <c r="W82" s="2844" t="n"/>
      <c r="X82" s="2844">
        <f>'OS&amp;Travel Exp'!H17</f>
        <v/>
      </c>
      <c r="Y82" s="2844" t="n"/>
      <c r="Z82" s="2795" t="n"/>
      <c r="AA82" s="2844" t="n"/>
      <c r="AB82" s="2844">
        <f>'OS&amp;Travel Exp'!I17</f>
        <v/>
      </c>
      <c r="AC82" s="2844" t="n"/>
      <c r="AD82" s="2795" t="n"/>
      <c r="AE82" s="2844" t="n"/>
      <c r="AF82" s="2844">
        <f>'OS&amp;Travel Exp'!J17</f>
        <v/>
      </c>
      <c r="AG82" s="2844" t="n"/>
      <c r="AH82" s="2795" t="n"/>
      <c r="AI82" s="2844" t="n"/>
      <c r="AJ82" s="2844">
        <f>'OS&amp;Travel Exp'!K17</f>
        <v/>
      </c>
      <c r="AK82" s="2844" t="n"/>
      <c r="AL82" s="2793" t="n"/>
      <c r="AM82" s="2844" t="n"/>
      <c r="AN82" s="2844">
        <f>'OS&amp;Travel Exp'!L17</f>
        <v/>
      </c>
      <c r="AO82" s="2844" t="n"/>
      <c r="AP82" s="2793" t="n"/>
      <c r="AQ82" s="2844" t="n"/>
      <c r="AR82" s="2844">
        <f>'OS&amp;Travel Exp'!M17</f>
        <v/>
      </c>
      <c r="AS82" s="2844" t="n"/>
      <c r="AT82" s="2793" t="n"/>
      <c r="AU82" s="2844" t="n"/>
      <c r="AV82" s="2844">
        <f>'OS&amp;Travel Exp'!N17</f>
        <v/>
      </c>
      <c r="AW82" s="2844" t="n"/>
      <c r="AX82" s="2793" t="n"/>
      <c r="AY82" s="2843" t="n"/>
      <c r="AZ82" s="2843">
        <f>SUM(C82:AW82)</f>
        <v/>
      </c>
      <c r="BA82" s="2843" t="n"/>
    </row>
    <row customFormat="1" outlineLevel="1" r="83" s="2808" spans="1:55">
      <c r="A83" s="2841" t="s">
        <v>161</v>
      </c>
      <c r="B83" s="2789" t="n"/>
      <c r="C83" s="2842" t="n"/>
      <c r="D83" s="2842">
        <f>' SET Cost(staf+OS)'!D112/1000</f>
        <v/>
      </c>
      <c r="E83" s="2842" t="n"/>
      <c r="F83" s="2789" t="n"/>
      <c r="G83" s="2842" t="n"/>
      <c r="H83" s="2842">
        <f>' SET Cost(staf+OS)'!E112/1000</f>
        <v/>
      </c>
      <c r="I83" s="2842" t="n"/>
      <c r="J83" s="2789" t="n"/>
      <c r="K83" s="2842" t="n"/>
      <c r="L83" s="2842">
        <f>' SET Cost(staf+OS)'!F112/1000</f>
        <v/>
      </c>
      <c r="M83" s="2842" t="n"/>
      <c r="N83" s="2799" t="n"/>
      <c r="O83" s="2842" t="n"/>
      <c r="P83" s="2842">
        <f>' SET Cost(staf+OS)'!G112/1000</f>
        <v/>
      </c>
      <c r="Q83" s="2842" t="n"/>
      <c r="R83" s="2789" t="n"/>
      <c r="S83" s="2842" t="n"/>
      <c r="T83" s="2842">
        <f>' SET Cost(staf+OS)'!H112/1000</f>
        <v/>
      </c>
      <c r="U83" s="2842" t="n"/>
      <c r="V83" s="2799" t="n"/>
      <c r="W83" s="2842" t="n"/>
      <c r="X83" s="2842">
        <f>' SET Cost(staf+OS)'!I112/1000</f>
        <v/>
      </c>
      <c r="Y83" s="2842" t="n"/>
      <c r="Z83" s="2799" t="n"/>
      <c r="AA83" s="2842" t="n"/>
      <c r="AB83" s="2842">
        <f>' SET Cost(staf+OS)'!J112/1000</f>
        <v/>
      </c>
      <c r="AC83" s="2842" t="n"/>
      <c r="AD83" s="2799" t="n"/>
      <c r="AE83" s="2842" t="n"/>
      <c r="AF83" s="2842">
        <f>' SET Cost(staf+OS)'!K112/1000</f>
        <v/>
      </c>
      <c r="AG83" s="2842" t="n"/>
      <c r="AH83" s="2799" t="n"/>
      <c r="AI83" s="2842" t="n"/>
      <c r="AJ83" s="2842">
        <f>' SET Cost(staf+OS)'!L112/1000</f>
        <v/>
      </c>
      <c r="AK83" s="2842" t="n"/>
      <c r="AL83" s="2789" t="n"/>
      <c r="AM83" s="2842" t="n"/>
      <c r="AN83" s="2842">
        <f>' SET Cost(staf+OS)'!M112/1000</f>
        <v/>
      </c>
      <c r="AO83" s="2842" t="n"/>
      <c r="AP83" s="2789" t="n"/>
      <c r="AQ83" s="2842" t="n"/>
      <c r="AR83" s="2842">
        <f>' SET Cost(staf+OS)'!N112/1000</f>
        <v/>
      </c>
      <c r="AS83" s="2842" t="n"/>
      <c r="AT83" s="2789" t="n"/>
      <c r="AU83" s="2842" t="n"/>
      <c r="AV83" s="2842">
        <f>' SET Cost(staf+OS)'!O112/1000</f>
        <v/>
      </c>
      <c r="AW83" s="2842" t="n"/>
      <c r="AX83" s="2789" t="n"/>
      <c r="AY83" s="2841" t="n"/>
      <c r="AZ83" s="2841">
        <f>SUM(C83:AW83)</f>
        <v/>
      </c>
      <c r="BA83" s="2841" t="n"/>
    </row>
    <row customFormat="1" outlineLevel="1" r="84" s="2808" spans="1:55">
      <c r="A84" s="2845" t="s">
        <v>367</v>
      </c>
      <c r="B84" s="2789" t="n"/>
      <c r="C84" s="2842" t="n"/>
      <c r="D84" s="2842">
        <f>' SET Cost(staf+OS)'!D113/1000</f>
        <v/>
      </c>
      <c r="E84" s="2842" t="n"/>
      <c r="F84" s="2789" t="n"/>
      <c r="G84" s="2842" t="n"/>
      <c r="H84" s="2842">
        <f>' SET Cost(staf+OS)'!E113/1000</f>
        <v/>
      </c>
      <c r="I84" s="2842" t="n"/>
      <c r="J84" s="2789" t="n"/>
      <c r="K84" s="2842" t="n"/>
      <c r="L84" s="2842">
        <f>' SET Cost(staf+OS)'!F113/1000</f>
        <v/>
      </c>
      <c r="M84" s="2842" t="n"/>
      <c r="N84" s="2799" t="n"/>
      <c r="O84" s="2842" t="n"/>
      <c r="P84" s="2842">
        <f>' SET Cost(staf+OS)'!G113/1000</f>
        <v/>
      </c>
      <c r="Q84" s="2842" t="n"/>
      <c r="R84" s="2789" t="n"/>
      <c r="S84" s="2842" t="n"/>
      <c r="T84" s="2842">
        <f>' SET Cost(staf+OS)'!H113/1000</f>
        <v/>
      </c>
      <c r="U84" s="2842" t="n"/>
      <c r="V84" s="2799" t="n"/>
      <c r="W84" s="2842" t="n"/>
      <c r="X84" s="2842">
        <f>' SET Cost(staf+OS)'!I113/1000</f>
        <v/>
      </c>
      <c r="Y84" s="2842" t="n"/>
      <c r="Z84" s="2799" t="n"/>
      <c r="AA84" s="2842" t="n"/>
      <c r="AB84" s="2842">
        <f>' SET Cost(staf+OS)'!J113/1000</f>
        <v/>
      </c>
      <c r="AC84" s="2842" t="n"/>
      <c r="AD84" s="2799" t="n"/>
      <c r="AE84" s="2842" t="n"/>
      <c r="AF84" s="2842">
        <f>' SET Cost(staf+OS)'!K113/1000</f>
        <v/>
      </c>
      <c r="AG84" s="2842" t="n"/>
      <c r="AH84" s="2799" t="n"/>
      <c r="AI84" s="2842" t="n"/>
      <c r="AJ84" s="2842">
        <f>' SET Cost(staf+OS)'!L113/1000</f>
        <v/>
      </c>
      <c r="AK84" s="2842" t="n"/>
      <c r="AL84" s="2789" t="n"/>
      <c r="AM84" s="2842" t="n"/>
      <c r="AN84" s="2842">
        <f>' SET Cost(staf+OS)'!M113/1000</f>
        <v/>
      </c>
      <c r="AO84" s="2842" t="n"/>
      <c r="AP84" s="2789" t="n"/>
      <c r="AQ84" s="2842" t="n"/>
      <c r="AR84" s="2842">
        <f>' SET Cost(staf+OS)'!N113/1000</f>
        <v/>
      </c>
      <c r="AS84" s="2842" t="n"/>
      <c r="AT84" s="2789" t="n"/>
      <c r="AU84" s="2842" t="n"/>
      <c r="AV84" s="2842">
        <f>' SET Cost(staf+OS)'!O113/1000</f>
        <v/>
      </c>
      <c r="AW84" s="2842" t="n"/>
      <c r="AX84" s="2789" t="n"/>
      <c r="AY84" s="2841" t="n"/>
      <c r="AZ84" s="2841">
        <f>SUM(C84:AW84)</f>
        <v/>
      </c>
      <c r="BA84" s="2841" t="n"/>
    </row>
    <row customFormat="1" outlineLevel="1" r="85" s="2808" spans="1:55">
      <c r="A85" s="2845" t="s">
        <v>232</v>
      </c>
      <c r="B85" s="2789" t="n"/>
      <c r="C85" s="2842" t="n"/>
      <c r="D85" s="2842">
        <f>' SET Cost(staf+OS)'!D114/1000</f>
        <v/>
      </c>
      <c r="E85" s="2842" t="n"/>
      <c r="F85" s="2789" t="n"/>
      <c r="G85" s="2842" t="n"/>
      <c r="H85" s="2842">
        <f>' SET Cost(staf+OS)'!E114/1000</f>
        <v/>
      </c>
      <c r="I85" s="2842" t="n"/>
      <c r="J85" s="2789" t="n"/>
      <c r="K85" s="2842" t="n"/>
      <c r="L85" s="2842">
        <f>' SET Cost(staf+OS)'!F114/1000</f>
        <v/>
      </c>
      <c r="M85" s="2842" t="n"/>
      <c r="N85" s="2799" t="n"/>
      <c r="O85" s="2842" t="n"/>
      <c r="P85" s="2842">
        <f>' SET Cost(staf+OS)'!G114/1000</f>
        <v/>
      </c>
      <c r="Q85" s="2842" t="n"/>
      <c r="R85" s="2789" t="n"/>
      <c r="S85" s="2842" t="n"/>
      <c r="T85" s="2842">
        <f>' SET Cost(staf+OS)'!H114/1000</f>
        <v/>
      </c>
      <c r="U85" s="2842" t="n"/>
      <c r="V85" s="2799" t="n"/>
      <c r="W85" s="2842" t="n"/>
      <c r="X85" s="2842">
        <f>' SET Cost(staf+OS)'!I114/1000</f>
        <v/>
      </c>
      <c r="Y85" s="2842" t="n"/>
      <c r="Z85" s="2799" t="n"/>
      <c r="AA85" s="2842" t="n"/>
      <c r="AB85" s="2842">
        <f>' SET Cost(staf+OS)'!J114/1000</f>
        <v/>
      </c>
      <c r="AC85" s="2842" t="n"/>
      <c r="AD85" s="2799" t="n"/>
      <c r="AE85" s="2842" t="n"/>
      <c r="AF85" s="2842">
        <f>' SET Cost(staf+OS)'!K114/1000</f>
        <v/>
      </c>
      <c r="AG85" s="2842" t="n"/>
      <c r="AH85" s="2799" t="n"/>
      <c r="AI85" s="2842" t="n"/>
      <c r="AJ85" s="2842">
        <f>' SET Cost(staf+OS)'!L114/1000</f>
        <v/>
      </c>
      <c r="AK85" s="2842" t="n"/>
      <c r="AL85" s="2789" t="n"/>
      <c r="AM85" s="2842" t="n"/>
      <c r="AN85" s="2842">
        <f>' SET Cost(staf+OS)'!M114/1000</f>
        <v/>
      </c>
      <c r="AO85" s="2842" t="n"/>
      <c r="AP85" s="2789" t="n"/>
      <c r="AQ85" s="2842" t="n"/>
      <c r="AR85" s="2842">
        <f>' SET Cost(staf+OS)'!N114/1000</f>
        <v/>
      </c>
      <c r="AS85" s="2842" t="n"/>
      <c r="AT85" s="2789" t="n"/>
      <c r="AU85" s="2842" t="n"/>
      <c r="AV85" s="2842">
        <f>' SET Cost(staf+OS)'!O114/1000</f>
        <v/>
      </c>
      <c r="AW85" s="2842" t="n"/>
      <c r="AX85" s="2789" t="n"/>
      <c r="AY85" s="2841" t="n"/>
      <c r="AZ85" s="2841">
        <f>SUM(C85:AW85)</f>
        <v/>
      </c>
      <c r="BA85" s="2841" t="n"/>
    </row>
    <row customFormat="1" outlineLevel="1" r="86" s="2808" spans="1:55">
      <c r="A86" s="2845" t="s">
        <v>233</v>
      </c>
      <c r="B86" s="2789" t="n"/>
      <c r="C86" s="2842" t="n"/>
      <c r="D86" s="2842">
        <f>' SET Cost(staf+OS)'!D115/1000</f>
        <v/>
      </c>
      <c r="E86" s="2842" t="n"/>
      <c r="F86" s="2789" t="n"/>
      <c r="G86" s="2842" t="n"/>
      <c r="H86" s="2842">
        <f>' SET Cost(staf+OS)'!E115/1000</f>
        <v/>
      </c>
      <c r="I86" s="2842" t="n"/>
      <c r="J86" s="2789" t="n"/>
      <c r="K86" s="2842" t="n"/>
      <c r="L86" s="2842">
        <f>' SET Cost(staf+OS)'!F115/1000</f>
        <v/>
      </c>
      <c r="M86" s="2842" t="n"/>
      <c r="N86" s="2799" t="n"/>
      <c r="O86" s="2842" t="n"/>
      <c r="P86" s="2842">
        <f>' SET Cost(staf+OS)'!G115/1000</f>
        <v/>
      </c>
      <c r="Q86" s="2842" t="n"/>
      <c r="R86" s="2789" t="n"/>
      <c r="S86" s="2842" t="n"/>
      <c r="T86" s="2842">
        <f>' SET Cost(staf+OS)'!H115/1000</f>
        <v/>
      </c>
      <c r="U86" s="2842" t="n"/>
      <c r="V86" s="2799" t="n"/>
      <c r="W86" s="2842" t="n"/>
      <c r="X86" s="2842">
        <f>' SET Cost(staf+OS)'!I115/1000</f>
        <v/>
      </c>
      <c r="Y86" s="2842" t="n"/>
      <c r="Z86" s="2799" t="n"/>
      <c r="AA86" s="2842" t="n"/>
      <c r="AB86" s="2842">
        <f>' SET Cost(staf+OS)'!J115/1000</f>
        <v/>
      </c>
      <c r="AC86" s="2842" t="n"/>
      <c r="AD86" s="2799" t="n"/>
      <c r="AE86" s="2842" t="n"/>
      <c r="AF86" s="2842">
        <f>' SET Cost(staf+OS)'!K115/1000</f>
        <v/>
      </c>
      <c r="AG86" s="2842" t="n"/>
      <c r="AH86" s="2799" t="n"/>
      <c r="AI86" s="2842" t="n"/>
      <c r="AJ86" s="2842">
        <f>' SET Cost(staf+OS)'!L115/1000</f>
        <v/>
      </c>
      <c r="AK86" s="2842" t="n"/>
      <c r="AL86" s="2789" t="n"/>
      <c r="AM86" s="2842" t="n"/>
      <c r="AN86" s="2842">
        <f>' SET Cost(staf+OS)'!M115/1000</f>
        <v/>
      </c>
      <c r="AO86" s="2842" t="n"/>
      <c r="AP86" s="2789" t="n"/>
      <c r="AQ86" s="2842" t="n"/>
      <c r="AR86" s="2842">
        <f>' SET Cost(staf+OS)'!N115/1000</f>
        <v/>
      </c>
      <c r="AS86" s="2842" t="n"/>
      <c r="AT86" s="2789" t="n"/>
      <c r="AU86" s="2842" t="n"/>
      <c r="AV86" s="2842">
        <f>' SET Cost(staf+OS)'!O115/1000</f>
        <v/>
      </c>
      <c r="AW86" s="2842" t="n"/>
      <c r="AX86" s="2789" t="n"/>
      <c r="AY86" s="2841" t="n"/>
      <c r="AZ86" s="2841">
        <f>SUM(C86:AW86)</f>
        <v/>
      </c>
      <c r="BA86" s="2841" t="n"/>
    </row>
    <row customFormat="1" outlineLevel="1" r="87" s="2808" spans="1:55">
      <c r="A87" s="2845" t="s">
        <v>368</v>
      </c>
      <c r="B87" s="2789" t="n"/>
      <c r="C87" s="2842" t="n"/>
      <c r="D87" s="2842">
        <f>' SET Cost(staf+OS)'!D116/1000</f>
        <v/>
      </c>
      <c r="E87" s="2842" t="n"/>
      <c r="F87" s="2789" t="n"/>
      <c r="G87" s="2842" t="n"/>
      <c r="H87" s="2842">
        <f>' SET Cost(staf+OS)'!E116/1000</f>
        <v/>
      </c>
      <c r="I87" s="2842" t="n"/>
      <c r="J87" s="2789" t="n"/>
      <c r="K87" s="2842" t="n"/>
      <c r="L87" s="2842">
        <f>' SET Cost(staf+OS)'!F116/1000</f>
        <v/>
      </c>
      <c r="M87" s="2842" t="n"/>
      <c r="N87" s="2799" t="n"/>
      <c r="O87" s="2842" t="n"/>
      <c r="P87" s="2842">
        <f>' SET Cost(staf+OS)'!G116/1000</f>
        <v/>
      </c>
      <c r="Q87" s="2842" t="n"/>
      <c r="R87" s="2789" t="n"/>
      <c r="S87" s="2842" t="n"/>
      <c r="T87" s="2842">
        <f>' SET Cost(staf+OS)'!H116/1000</f>
        <v/>
      </c>
      <c r="U87" s="2842" t="n"/>
      <c r="V87" s="2799" t="n"/>
      <c r="W87" s="2842" t="n"/>
      <c r="X87" s="2842">
        <f>' SET Cost(staf+OS)'!I116/1000</f>
        <v/>
      </c>
      <c r="Y87" s="2842" t="n"/>
      <c r="Z87" s="2799" t="n"/>
      <c r="AA87" s="2842" t="n"/>
      <c r="AB87" s="2842">
        <f>' SET Cost(staf+OS)'!J116/1000</f>
        <v/>
      </c>
      <c r="AC87" s="2842" t="n"/>
      <c r="AD87" s="2799" t="n"/>
      <c r="AE87" s="2842" t="n"/>
      <c r="AF87" s="2842">
        <f>' SET Cost(staf+OS)'!K116/1000</f>
        <v/>
      </c>
      <c r="AG87" s="2842" t="n"/>
      <c r="AH87" s="2799" t="n"/>
      <c r="AI87" s="2842" t="n"/>
      <c r="AJ87" s="2842">
        <f>' SET Cost(staf+OS)'!L116/1000</f>
        <v/>
      </c>
      <c r="AK87" s="2842" t="n"/>
      <c r="AL87" s="2789" t="n"/>
      <c r="AM87" s="2842" t="n"/>
      <c r="AN87" s="2842">
        <f>' SET Cost(staf+OS)'!M116/1000</f>
        <v/>
      </c>
      <c r="AO87" s="2842" t="n"/>
      <c r="AP87" s="2789" t="n"/>
      <c r="AQ87" s="2842" t="n"/>
      <c r="AR87" s="2842">
        <f>' SET Cost(staf+OS)'!N116/1000</f>
        <v/>
      </c>
      <c r="AS87" s="2842" t="n"/>
      <c r="AT87" s="2789" t="n"/>
      <c r="AU87" s="2842" t="n"/>
      <c r="AV87" s="2842">
        <f>' SET Cost(staf+OS)'!O116/1000</f>
        <v/>
      </c>
      <c r="AW87" s="2842" t="n"/>
      <c r="AX87" s="2789" t="n"/>
      <c r="AY87" s="2841" t="n"/>
      <c r="AZ87" s="2841">
        <f>SUM(C87:AW87)</f>
        <v/>
      </c>
      <c r="BA87" s="2841" t="n"/>
    </row>
    <row customFormat="1" outlineLevel="1" r="88" s="2808" spans="1:55">
      <c r="A88" s="2845" t="s">
        <v>369</v>
      </c>
      <c r="B88" s="2789" t="n"/>
      <c r="C88" s="2842" t="n"/>
      <c r="D88" s="2842">
        <f>' SET Cost(staf+OS)'!D117/1000</f>
        <v/>
      </c>
      <c r="E88" s="2842" t="n"/>
      <c r="F88" s="2789" t="n"/>
      <c r="G88" s="2842" t="n"/>
      <c r="H88" s="2842">
        <f>' SET Cost(staf+OS)'!E117/1000</f>
        <v/>
      </c>
      <c r="I88" s="2842" t="n"/>
      <c r="J88" s="2789" t="n"/>
      <c r="K88" s="2842" t="n"/>
      <c r="L88" s="2842">
        <f>' SET Cost(staf+OS)'!F117/1000</f>
        <v/>
      </c>
      <c r="M88" s="2842" t="n"/>
      <c r="N88" s="2799" t="n"/>
      <c r="O88" s="2842" t="n"/>
      <c r="P88" s="2842">
        <f>' SET Cost(staf+OS)'!G117/1000</f>
        <v/>
      </c>
      <c r="Q88" s="2842" t="n"/>
      <c r="R88" s="2789" t="n"/>
      <c r="S88" s="2842" t="n"/>
      <c r="T88" s="2842">
        <f>' SET Cost(staf+OS)'!H117/1000</f>
        <v/>
      </c>
      <c r="U88" s="2842" t="n"/>
      <c r="V88" s="2799" t="n"/>
      <c r="W88" s="2842" t="n"/>
      <c r="X88" s="2842">
        <f>' SET Cost(staf+OS)'!I117/1000</f>
        <v/>
      </c>
      <c r="Y88" s="2842" t="n"/>
      <c r="Z88" s="2799" t="n"/>
      <c r="AA88" s="2842" t="n"/>
      <c r="AB88" s="2842">
        <f>' SET Cost(staf+OS)'!J117/1000</f>
        <v/>
      </c>
      <c r="AC88" s="2842" t="n"/>
      <c r="AD88" s="2799" t="n"/>
      <c r="AE88" s="2842" t="n"/>
      <c r="AF88" s="2842">
        <f>' SET Cost(staf+OS)'!K117/1000</f>
        <v/>
      </c>
      <c r="AG88" s="2842" t="n"/>
      <c r="AH88" s="2799" t="n"/>
      <c r="AI88" s="2842" t="n"/>
      <c r="AJ88" s="2842">
        <f>' SET Cost(staf+OS)'!L117/1000</f>
        <v/>
      </c>
      <c r="AK88" s="2842" t="n"/>
      <c r="AL88" s="2789" t="n"/>
      <c r="AM88" s="2842" t="n"/>
      <c r="AN88" s="2842">
        <f>' SET Cost(staf+OS)'!M117/1000</f>
        <v/>
      </c>
      <c r="AO88" s="2842" t="n"/>
      <c r="AP88" s="2789" t="n"/>
      <c r="AQ88" s="2842" t="n"/>
      <c r="AR88" s="2842">
        <f>' SET Cost(staf+OS)'!N117/1000</f>
        <v/>
      </c>
      <c r="AS88" s="2842" t="n"/>
      <c r="AT88" s="2789" t="n"/>
      <c r="AU88" s="2842" t="n"/>
      <c r="AV88" s="2842">
        <f>' SET Cost(staf+OS)'!O117/1000</f>
        <v/>
      </c>
      <c r="AW88" s="2842" t="n"/>
      <c r="AX88" s="2789" t="n"/>
      <c r="AY88" s="2841" t="n"/>
      <c r="AZ88" s="2841">
        <f>SUM(C88:AW88)</f>
        <v/>
      </c>
      <c r="BA88" s="2841" t="n"/>
    </row>
    <row customFormat="1" outlineLevel="1" r="89" s="2808" spans="1:55">
      <c r="A89" s="2845" t="s">
        <v>370</v>
      </c>
      <c r="B89" s="2789" t="n"/>
      <c r="C89" s="2842" t="n"/>
      <c r="D89" s="2842">
        <f>' SET Cost(staf+OS)'!D118/1000</f>
        <v/>
      </c>
      <c r="E89" s="2842" t="n"/>
      <c r="F89" s="2789" t="n"/>
      <c r="G89" s="2842" t="n"/>
      <c r="H89" s="2842">
        <f>' SET Cost(staf+OS)'!E118/1000</f>
        <v/>
      </c>
      <c r="I89" s="2842" t="n"/>
      <c r="J89" s="2789" t="n"/>
      <c r="K89" s="2842" t="n"/>
      <c r="L89" s="2842">
        <f>' SET Cost(staf+OS)'!F118/1000</f>
        <v/>
      </c>
      <c r="M89" s="2842" t="n"/>
      <c r="N89" s="2799" t="n"/>
      <c r="O89" s="2842" t="n"/>
      <c r="P89" s="2842">
        <f>' SET Cost(staf+OS)'!G118/1000</f>
        <v/>
      </c>
      <c r="Q89" s="2842" t="n"/>
      <c r="R89" s="2789" t="n"/>
      <c r="S89" s="2842" t="n"/>
      <c r="T89" s="2842">
        <f>' SET Cost(staf+OS)'!H118/1000</f>
        <v/>
      </c>
      <c r="U89" s="2842" t="n"/>
      <c r="V89" s="2799" t="n"/>
      <c r="W89" s="2842" t="n"/>
      <c r="X89" s="2842">
        <f>' SET Cost(staf+OS)'!I118/1000</f>
        <v/>
      </c>
      <c r="Y89" s="2842" t="n"/>
      <c r="Z89" s="2799" t="n"/>
      <c r="AA89" s="2842" t="n"/>
      <c r="AB89" s="2842">
        <f>' SET Cost(staf+OS)'!J118/1000</f>
        <v/>
      </c>
      <c r="AC89" s="2842" t="n"/>
      <c r="AD89" s="2799" t="n"/>
      <c r="AE89" s="2842" t="n"/>
      <c r="AF89" s="2842">
        <f>' SET Cost(staf+OS)'!K118/1000</f>
        <v/>
      </c>
      <c r="AG89" s="2842" t="n"/>
      <c r="AH89" s="2799" t="n"/>
      <c r="AI89" s="2842" t="n"/>
      <c r="AJ89" s="2842">
        <f>' SET Cost(staf+OS)'!L118/1000</f>
        <v/>
      </c>
      <c r="AK89" s="2842" t="n"/>
      <c r="AL89" s="2789" t="n"/>
      <c r="AM89" s="2842" t="n"/>
      <c r="AN89" s="2842">
        <f>' SET Cost(staf+OS)'!M118/1000</f>
        <v/>
      </c>
      <c r="AO89" s="2842" t="n"/>
      <c r="AP89" s="2789" t="n"/>
      <c r="AQ89" s="2842" t="n"/>
      <c r="AR89" s="2842">
        <f>' SET Cost(staf+OS)'!N118/1000</f>
        <v/>
      </c>
      <c r="AS89" s="2842" t="n"/>
      <c r="AT89" s="2789" t="n"/>
      <c r="AU89" s="2842" t="n"/>
      <c r="AV89" s="2842">
        <f>' SET Cost(staf+OS)'!O118/1000</f>
        <v/>
      </c>
      <c r="AW89" s="2842" t="n"/>
      <c r="AX89" s="2789" t="n"/>
      <c r="AY89" s="2841" t="n"/>
      <c r="AZ89" s="2841">
        <f>SUM(C89:AW89)</f>
        <v/>
      </c>
      <c r="BA89" s="2841" t="n"/>
    </row>
    <row customFormat="1" outlineLevel="1" r="90" s="2808" spans="1:55">
      <c r="A90" s="2845" t="s">
        <v>371</v>
      </c>
      <c r="B90" s="2789" t="n"/>
      <c r="C90" s="2842" t="n"/>
      <c r="D90" s="2842">
        <f>' SET Cost(staf+OS)'!D119/1000</f>
        <v/>
      </c>
      <c r="E90" s="2842" t="n"/>
      <c r="F90" s="2789" t="n"/>
      <c r="G90" s="2842" t="n"/>
      <c r="H90" s="2842">
        <f>' SET Cost(staf+OS)'!E119/1000</f>
        <v/>
      </c>
      <c r="I90" s="2842" t="n"/>
      <c r="J90" s="2789" t="n"/>
      <c r="K90" s="2842" t="n"/>
      <c r="L90" s="2842">
        <f>' SET Cost(staf+OS)'!F119/1000</f>
        <v/>
      </c>
      <c r="M90" s="2842" t="n"/>
      <c r="N90" s="2799" t="n"/>
      <c r="O90" s="2842" t="n"/>
      <c r="P90" s="2842">
        <f>' SET Cost(staf+OS)'!G119/1000</f>
        <v/>
      </c>
      <c r="Q90" s="2842" t="n"/>
      <c r="R90" s="2789" t="n"/>
      <c r="S90" s="2842" t="n"/>
      <c r="T90" s="2842">
        <f>' SET Cost(staf+OS)'!H119/1000</f>
        <v/>
      </c>
      <c r="U90" s="2842" t="n"/>
      <c r="V90" s="2799" t="n"/>
      <c r="W90" s="2842" t="n"/>
      <c r="X90" s="2842">
        <f>' SET Cost(staf+OS)'!I119/1000</f>
        <v/>
      </c>
      <c r="Y90" s="2842" t="n"/>
      <c r="Z90" s="2799" t="n"/>
      <c r="AA90" s="2842" t="n"/>
      <c r="AB90" s="2842">
        <f>' SET Cost(staf+OS)'!J119/1000</f>
        <v/>
      </c>
      <c r="AC90" s="2842" t="n"/>
      <c r="AD90" s="2799" t="n"/>
      <c r="AE90" s="2842" t="n"/>
      <c r="AF90" s="2842">
        <f>' SET Cost(staf+OS)'!K119/1000</f>
        <v/>
      </c>
      <c r="AG90" s="2842" t="n"/>
      <c r="AH90" s="2799" t="n"/>
      <c r="AI90" s="2842" t="n"/>
      <c r="AJ90" s="2842">
        <f>' SET Cost(staf+OS)'!L119/1000</f>
        <v/>
      </c>
      <c r="AK90" s="2842" t="n"/>
      <c r="AL90" s="2789" t="n"/>
      <c r="AM90" s="2842" t="n"/>
      <c r="AN90" s="2842">
        <f>' SET Cost(staf+OS)'!M119/1000</f>
        <v/>
      </c>
      <c r="AO90" s="2842" t="n"/>
      <c r="AP90" s="2789" t="n"/>
      <c r="AQ90" s="2842" t="n"/>
      <c r="AR90" s="2842">
        <f>' SET Cost(staf+OS)'!N119/1000</f>
        <v/>
      </c>
      <c r="AS90" s="2842" t="n"/>
      <c r="AT90" s="2789" t="n"/>
      <c r="AU90" s="2842" t="n"/>
      <c r="AV90" s="2842">
        <f>' SET Cost(staf+OS)'!O119/1000</f>
        <v/>
      </c>
      <c r="AW90" s="2842" t="n"/>
      <c r="AX90" s="2789" t="n"/>
      <c r="AY90" s="2841" t="n"/>
      <c r="AZ90" s="2841">
        <f>SUM(C90:AW90)</f>
        <v/>
      </c>
      <c r="BA90" s="2841" t="n"/>
    </row>
    <row customFormat="1" outlineLevel="1" r="91" s="2808" spans="1:55">
      <c r="A91" s="2845" t="s">
        <v>372</v>
      </c>
      <c r="B91" s="2789" t="n"/>
      <c r="C91" s="2842" t="n"/>
      <c r="D91" s="2842">
        <f>' SET Cost(staf+OS)'!D120/1000</f>
        <v/>
      </c>
      <c r="E91" s="2842" t="n"/>
      <c r="F91" s="2789" t="n"/>
      <c r="G91" s="2842" t="n"/>
      <c r="H91" s="2842">
        <f>' SET Cost(staf+OS)'!E120/1000</f>
        <v/>
      </c>
      <c r="I91" s="2842" t="n"/>
      <c r="J91" s="2789" t="n"/>
      <c r="K91" s="2842" t="n"/>
      <c r="L91" s="2842">
        <f>' SET Cost(staf+OS)'!F120/1000</f>
        <v/>
      </c>
      <c r="M91" s="2842" t="n"/>
      <c r="N91" s="2799" t="n"/>
      <c r="O91" s="2842" t="n"/>
      <c r="P91" s="2842">
        <f>' SET Cost(staf+OS)'!G120/1000</f>
        <v/>
      </c>
      <c r="Q91" s="2842" t="n"/>
      <c r="R91" s="2789" t="n"/>
      <c r="S91" s="2842" t="n"/>
      <c r="T91" s="2842">
        <f>' SET Cost(staf+OS)'!H120/1000</f>
        <v/>
      </c>
      <c r="U91" s="2842" t="n"/>
      <c r="V91" s="2799" t="n"/>
      <c r="W91" s="2842" t="n"/>
      <c r="X91" s="2842">
        <f>' SET Cost(staf+OS)'!I120/1000</f>
        <v/>
      </c>
      <c r="Y91" s="2842" t="n"/>
      <c r="Z91" s="2799" t="n"/>
      <c r="AA91" s="2842" t="n"/>
      <c r="AB91" s="2842">
        <f>' SET Cost(staf+OS)'!J120/1000</f>
        <v/>
      </c>
      <c r="AC91" s="2842" t="n"/>
      <c r="AD91" s="2799" t="n"/>
      <c r="AE91" s="2842" t="n"/>
      <c r="AF91" s="2842">
        <f>' SET Cost(staf+OS)'!K120/1000</f>
        <v/>
      </c>
      <c r="AG91" s="2842" t="n"/>
      <c r="AH91" s="2799" t="n"/>
      <c r="AI91" s="2842" t="n"/>
      <c r="AJ91" s="2842">
        <f>' SET Cost(staf+OS)'!L120/1000</f>
        <v/>
      </c>
      <c r="AK91" s="2842" t="n"/>
      <c r="AL91" s="2789" t="n"/>
      <c r="AM91" s="2842" t="n"/>
      <c r="AN91" s="2842">
        <f>' SET Cost(staf+OS)'!M120/1000</f>
        <v/>
      </c>
      <c r="AO91" s="2842" t="n"/>
      <c r="AP91" s="2789" t="n"/>
      <c r="AQ91" s="2842" t="n"/>
      <c r="AR91" s="2842">
        <f>' SET Cost(staf+OS)'!N120/1000</f>
        <v/>
      </c>
      <c r="AS91" s="2842" t="n"/>
      <c r="AT91" s="2789" t="n"/>
      <c r="AU91" s="2842" t="n"/>
      <c r="AV91" s="2842">
        <f>' SET Cost(staf+OS)'!O120/1000</f>
        <v/>
      </c>
      <c r="AW91" s="2842" t="n"/>
      <c r="AX91" s="2789" t="n"/>
      <c r="AY91" s="2841" t="n"/>
      <c r="AZ91" s="2841">
        <f>SUM(C91:AW91)</f>
        <v/>
      </c>
      <c r="BA91" s="2841" t="n"/>
    </row>
    <row customFormat="1" outlineLevel="1" r="92" s="2808" spans="1:55">
      <c r="A92" s="2845" t="s">
        <v>89</v>
      </c>
      <c r="B92" s="2789" t="n"/>
      <c r="C92" s="2842">
        <f>'FY18 SET'!G7/1000</f>
        <v/>
      </c>
      <c r="D92" s="2842" t="n"/>
      <c r="E92" s="2842" t="n"/>
      <c r="F92" s="2789" t="n"/>
      <c r="G92" s="2842">
        <f>'FY18 SET'!H7/1000</f>
        <v/>
      </c>
      <c r="H92" s="2842" t="n"/>
      <c r="I92" s="2842" t="n"/>
      <c r="J92" s="2789" t="n"/>
      <c r="K92" s="2842">
        <f>'FY18 SET'!I7/1000</f>
        <v/>
      </c>
      <c r="L92" s="2842" t="n"/>
      <c r="M92" s="2842" t="n"/>
      <c r="N92" s="2799" t="n"/>
      <c r="O92" s="2842">
        <f>'FY18 SET'!J7/1000</f>
        <v/>
      </c>
      <c r="P92" s="2842" t="n"/>
      <c r="Q92" s="2842" t="n"/>
      <c r="R92" s="2789" t="n"/>
      <c r="S92" s="2842">
        <f>'FY18 SET'!K7/1000</f>
        <v/>
      </c>
      <c r="T92" s="2842" t="n"/>
      <c r="U92" s="2842" t="n"/>
      <c r="V92" s="2799" t="n"/>
      <c r="W92" s="2842">
        <f>'FY18 SET'!L7/1000</f>
        <v/>
      </c>
      <c r="X92" s="2842" t="n"/>
      <c r="Y92" s="2842" t="n"/>
      <c r="Z92" s="2799" t="n"/>
      <c r="AA92" s="2842">
        <f>'FY18 SET'!N7/1000</f>
        <v/>
      </c>
      <c r="AB92" s="2842" t="n"/>
      <c r="AC92" s="2842" t="n"/>
      <c r="AD92" s="2799" t="n"/>
      <c r="AE92" s="2842">
        <f>'FY18 SET'!O7/1000</f>
        <v/>
      </c>
      <c r="AF92" s="2842" t="n"/>
      <c r="AG92" s="2842" t="n"/>
      <c r="AH92" s="2799" t="n"/>
      <c r="AI92" s="2842">
        <f>'FY18 SET'!P7/1000</f>
        <v/>
      </c>
      <c r="AJ92" s="2842" t="n"/>
      <c r="AK92" s="2842" t="n"/>
      <c r="AL92" s="2789" t="n"/>
      <c r="AM92" s="2842">
        <f>'FY18 SET'!Q7/1000</f>
        <v/>
      </c>
      <c r="AN92" s="2842" t="n"/>
      <c r="AO92" s="2842" t="n"/>
      <c r="AP92" s="2789" t="n"/>
      <c r="AQ92" s="2842">
        <f>'FY18 SET'!R7/1000</f>
        <v/>
      </c>
      <c r="AR92" s="2842" t="n"/>
      <c r="AS92" s="2842" t="n"/>
      <c r="AT92" s="2789" t="n"/>
      <c r="AU92" s="2842">
        <f>'FY18 SET'!S7/1000</f>
        <v/>
      </c>
      <c r="AV92" s="2842" t="n"/>
      <c r="AW92" s="2842" t="n"/>
      <c r="AX92" s="2789" t="n"/>
      <c r="AY92" s="2841">
        <f>SUM(B92:AV92)</f>
        <v/>
      </c>
      <c r="AZ92" s="2841" t="n"/>
      <c r="BA92" s="2841" t="n"/>
      <c r="BB92" s="2846" t="n"/>
    </row>
    <row customFormat="1" customHeight="1" ht="17.25" outlineLevel="1" r="93" s="2808" spans="1:55">
      <c r="A93" s="2845" t="s">
        <v>153</v>
      </c>
      <c r="B93" s="2789" t="n"/>
      <c r="C93" s="2841" t="n"/>
      <c r="D93" s="2841" t="n"/>
      <c r="E93" s="2841">
        <f>SUM(C75:C93)-SUM(D75:D93)</f>
        <v/>
      </c>
      <c r="F93" s="2789" t="n"/>
      <c r="G93" s="2841" t="n"/>
      <c r="H93" s="2841" t="n"/>
      <c r="I93" s="2841">
        <f>SUM(G75:G93)-SUM(H75:H93)</f>
        <v/>
      </c>
      <c r="J93" s="2789" t="n"/>
      <c r="K93" s="2841" t="n"/>
      <c r="L93" s="2841" t="n"/>
      <c r="M93" s="2841">
        <f>SUM(K75:K93)-SUM(L75:L93)</f>
        <v/>
      </c>
      <c r="N93" s="2839" t="n"/>
      <c r="O93" s="2841" t="n"/>
      <c r="P93" s="2841" t="n"/>
      <c r="Q93" s="2841">
        <f>SUM(O75:O93)-SUM(P75:P93)</f>
        <v/>
      </c>
      <c r="R93" s="2789" t="n"/>
      <c r="S93" s="2841" t="n"/>
      <c r="T93" s="2841" t="n"/>
      <c r="U93" s="2841">
        <f>SUM(S75:S93)-SUM(T75:T93)</f>
        <v/>
      </c>
      <c r="V93" s="2839" t="n"/>
      <c r="W93" s="2841" t="n"/>
      <c r="X93" s="2841" t="n"/>
      <c r="Y93" s="2841">
        <f>SUM(W75:W93)-SUM(X75:X93)</f>
        <v/>
      </c>
      <c r="Z93" s="2839" t="n"/>
      <c r="AA93" s="2841" t="n"/>
      <c r="AB93" s="2841" t="n"/>
      <c r="AC93" s="2841">
        <f>SUM(AA75:AA93)-SUM(AB75:AB93)</f>
        <v/>
      </c>
      <c r="AD93" s="2839" t="n"/>
      <c r="AE93" s="2841" t="n"/>
      <c r="AF93" s="2841" t="n"/>
      <c r="AG93" s="2841">
        <f>SUM(AE75:AE93)-SUM(AF75:AF93)</f>
        <v/>
      </c>
      <c r="AH93" s="2839" t="n"/>
      <c r="AI93" s="2841" t="n"/>
      <c r="AJ93" s="2841" t="n"/>
      <c r="AK93" s="2841">
        <f>SUM(AI75:AI93)-SUM(AJ75:AJ93)</f>
        <v/>
      </c>
      <c r="AL93" s="2789" t="n"/>
      <c r="AM93" s="2841" t="n"/>
      <c r="AN93" s="2841" t="n"/>
      <c r="AO93" s="2841">
        <f>SUM(AM75:AM93)-SUM(AN75:AN93)</f>
        <v/>
      </c>
      <c r="AP93" s="2789" t="n"/>
      <c r="AQ93" s="2841" t="n"/>
      <c r="AR93" s="2841" t="n"/>
      <c r="AS93" s="2841">
        <f>SUM(AQ75:AQ93)-SUM(AR75:AR93)</f>
        <v/>
      </c>
      <c r="AT93" s="2789" t="n"/>
      <c r="AU93" s="2841" t="n"/>
      <c r="AV93" s="2841" t="n"/>
      <c r="AW93" s="2841">
        <f>SUM(AU75:AU93)-SUM(AV75:AV93)</f>
        <v/>
      </c>
      <c r="AX93" s="2789" t="n"/>
      <c r="AY93" s="2841" t="n"/>
      <c r="AZ93" s="2841" t="n"/>
      <c r="BA93" s="2841">
        <f>SUM(D93:AY93)</f>
        <v/>
      </c>
    </row>
    <row customFormat="1" outlineLevel="1" r="94" s="2808" spans="1:55">
      <c r="A94" s="2847" t="s">
        <v>173</v>
      </c>
      <c r="B94" s="2806" t="n"/>
      <c r="C94" s="2848">
        <f>SUM(C75:C93)</f>
        <v/>
      </c>
      <c r="D94" s="2848">
        <f>SUM(D75:D93)</f>
        <v/>
      </c>
      <c r="E94" s="2848">
        <f>SUM(E93:E93)</f>
        <v/>
      </c>
      <c r="F94" s="2806" t="n"/>
      <c r="G94" s="2848">
        <f>SUM(G75:G93)</f>
        <v/>
      </c>
      <c r="H94" s="2848">
        <f>SUM(H75:H93)</f>
        <v/>
      </c>
      <c r="I94" s="2848">
        <f>SUM(I93:I93)</f>
        <v/>
      </c>
      <c r="J94" s="2806" t="n"/>
      <c r="K94" s="2848">
        <f>SUM(K75:K93)</f>
        <v/>
      </c>
      <c r="L94" s="2848">
        <f>SUM(L75:L93)</f>
        <v/>
      </c>
      <c r="M94" s="2848">
        <f>SUM(M93:M93)</f>
        <v/>
      </c>
      <c r="N94" s="2802" t="n"/>
      <c r="O94" s="2848">
        <f>SUM(O75:O93)</f>
        <v/>
      </c>
      <c r="P94" s="2848">
        <f>SUM(P75:P93)</f>
        <v/>
      </c>
      <c r="Q94" s="2848">
        <f>SUM(Q93:Q93)</f>
        <v/>
      </c>
      <c r="R94" s="2806" t="n"/>
      <c r="S94" s="2848">
        <f>SUM(S75:S93)</f>
        <v/>
      </c>
      <c r="T94" s="2848">
        <f>SUM(T75:T93)</f>
        <v/>
      </c>
      <c r="U94" s="2848">
        <f>SUM(U93:U93)</f>
        <v/>
      </c>
      <c r="V94" s="2802" t="n"/>
      <c r="W94" s="2848">
        <f>SUM(W75:W93)</f>
        <v/>
      </c>
      <c r="X94" s="2848">
        <f>SUM(X75:X93)</f>
        <v/>
      </c>
      <c r="Y94" s="2848">
        <f>SUM(Y93:Y93)</f>
        <v/>
      </c>
      <c r="Z94" s="2802" t="n"/>
      <c r="AA94" s="2848">
        <f>SUM(AA75:AA93)</f>
        <v/>
      </c>
      <c r="AB94" s="2848">
        <f>SUM(AB75:AB93)</f>
        <v/>
      </c>
      <c r="AC94" s="2848">
        <f>SUM(AC93:AC93)</f>
        <v/>
      </c>
      <c r="AD94" s="2802" t="n"/>
      <c r="AE94" s="2848">
        <f>SUM(AE75:AE93)</f>
        <v/>
      </c>
      <c r="AF94" s="2848">
        <f>SUM(AF75:AF93)</f>
        <v/>
      </c>
      <c r="AG94" s="2848">
        <f>SUM(AG93:AG93)</f>
        <v/>
      </c>
      <c r="AH94" s="2802" t="n"/>
      <c r="AI94" s="2848">
        <f>SUM(AI75:AI93)</f>
        <v/>
      </c>
      <c r="AJ94" s="2848">
        <f>SUM(AJ75:AJ93)</f>
        <v/>
      </c>
      <c r="AK94" s="2848">
        <f>SUM(AK93:AK93)</f>
        <v/>
      </c>
      <c r="AL94" s="2806" t="n"/>
      <c r="AM94" s="2848">
        <f>SUM(AM75:AM93)</f>
        <v/>
      </c>
      <c r="AN94" s="2848">
        <f>SUM(AN75:AN93)</f>
        <v/>
      </c>
      <c r="AO94" s="2848">
        <f>SUM(AO93:AO93)</f>
        <v/>
      </c>
      <c r="AP94" s="2806" t="n"/>
      <c r="AQ94" s="2848">
        <f>SUM(AQ75:AQ93)</f>
        <v/>
      </c>
      <c r="AR94" s="2848">
        <f>SUM(AR75:AR93)</f>
        <v/>
      </c>
      <c r="AS94" s="2848">
        <f>SUM(AS93:AS93)</f>
        <v/>
      </c>
      <c r="AT94" s="2806" t="n"/>
      <c r="AU94" s="2848">
        <f>SUM(AU75:AU93)</f>
        <v/>
      </c>
      <c r="AV94" s="2848">
        <f>SUM(AV75:AV93)</f>
        <v/>
      </c>
      <c r="AW94" s="2848">
        <f>SUM(AW93:AW93)</f>
        <v/>
      </c>
      <c r="AX94" s="2806" t="n"/>
      <c r="AY94" s="2847">
        <f>SUM(AY75:AY93)</f>
        <v/>
      </c>
      <c r="AZ94" s="2847">
        <f>SUM(AZ75:AZ91)</f>
        <v/>
      </c>
      <c r="BA94" s="2847">
        <f>SUM(BA93:BA93)</f>
        <v/>
      </c>
    </row>
    <row customFormat="1" outlineLevel="1" r="95" s="2808" spans="1:55">
      <c r="A95" s="2847" t="s">
        <v>379</v>
      </c>
      <c r="B95" s="2806" t="n"/>
      <c r="C95" s="2848" t="n"/>
      <c r="D95" s="2848" t="n"/>
      <c r="E95" s="2849">
        <f>E94/C94</f>
        <v/>
      </c>
      <c r="F95" s="2806" t="n"/>
      <c r="G95" s="2848" t="n"/>
      <c r="H95" s="2848" t="n"/>
      <c r="I95" s="2849">
        <f>I94/G94</f>
        <v/>
      </c>
      <c r="J95" s="2806" t="n"/>
      <c r="K95" s="2848" t="n"/>
      <c r="L95" s="2848" t="n"/>
      <c r="M95" s="2849">
        <f>M94/K94</f>
        <v/>
      </c>
      <c r="N95" s="2808" t="n"/>
      <c r="O95" s="2848" t="n"/>
      <c r="P95" s="2848" t="n"/>
      <c r="Q95" s="2849">
        <f>Q94/O94</f>
        <v/>
      </c>
      <c r="R95" s="2806" t="n"/>
      <c r="S95" s="2848" t="n"/>
      <c r="T95" s="2848" t="n"/>
      <c r="U95" s="2849">
        <f>U94/S94</f>
        <v/>
      </c>
      <c r="V95" s="2808" t="n"/>
      <c r="W95" s="2848" t="n"/>
      <c r="X95" s="2848" t="n"/>
      <c r="Y95" s="2849">
        <f>Y94/W94</f>
        <v/>
      </c>
      <c r="Z95" s="2808" t="n"/>
      <c r="AA95" s="2848" t="n"/>
      <c r="AB95" s="2848" t="n"/>
      <c r="AC95" s="2849">
        <f>AC94/AA94</f>
        <v/>
      </c>
      <c r="AD95" s="2808" t="n"/>
      <c r="AE95" s="2848" t="n"/>
      <c r="AF95" s="2848" t="n"/>
      <c r="AG95" s="2849">
        <f>AG94/AE94</f>
        <v/>
      </c>
      <c r="AH95" s="2808" t="n"/>
      <c r="AI95" s="2848" t="n"/>
      <c r="AJ95" s="2848" t="n"/>
      <c r="AK95" s="2849">
        <f>AK94/AI94</f>
        <v/>
      </c>
      <c r="AL95" s="2806" t="n"/>
      <c r="AM95" s="2848" t="n"/>
      <c r="AN95" s="2848" t="n"/>
      <c r="AO95" s="2849">
        <f>AO94/AM94</f>
        <v/>
      </c>
      <c r="AP95" s="2806" t="n"/>
      <c r="AQ95" s="2848" t="n"/>
      <c r="AR95" s="2848" t="n"/>
      <c r="AS95" s="2849">
        <f>AS94/AQ94</f>
        <v/>
      </c>
      <c r="AT95" s="2806" t="n"/>
      <c r="AU95" s="2848" t="n"/>
      <c r="AV95" s="2848" t="n"/>
      <c r="AW95" s="2849">
        <f>AW94/AU94</f>
        <v/>
      </c>
      <c r="AX95" s="2806" t="n"/>
      <c r="AY95" s="2847" t="n"/>
      <c r="AZ95" s="2847" t="n"/>
      <c r="BA95" s="2849">
        <f>BA94/AY94</f>
        <v/>
      </c>
    </row>
    <row customFormat="1" outlineLevel="1" r="96" s="2808" spans="1:55">
      <c r="A96" s="2850" t="n"/>
      <c r="B96" s="2806" t="n"/>
      <c r="E96" s="2836" t="n"/>
      <c r="F96" s="2806" t="n"/>
      <c r="I96" s="2836" t="n"/>
      <c r="J96" s="2806" t="n"/>
      <c r="M96" s="2836" t="n"/>
      <c r="N96" s="2808" t="n"/>
      <c r="Q96" s="2836" t="n"/>
      <c r="R96" s="2806" t="n"/>
      <c r="U96" s="2836" t="n"/>
      <c r="V96" s="2808" t="n"/>
      <c r="Y96" s="2836" t="n"/>
      <c r="Z96" s="2808" t="n"/>
      <c r="AC96" s="2836" t="n"/>
      <c r="AD96" s="2808" t="n"/>
      <c r="AG96" s="2836" t="n"/>
      <c r="AH96" s="2808" t="n"/>
      <c r="AK96" s="2836" t="n"/>
      <c r="AL96" s="2806" t="n"/>
      <c r="AO96" s="2836" t="n"/>
      <c r="AP96" s="2806" t="n"/>
      <c r="AS96" s="2836" t="n"/>
      <c r="AT96" s="2806" t="n"/>
      <c r="AW96" s="2836" t="n"/>
      <c r="AX96" s="2806" t="n"/>
      <c r="AY96" s="2806" t="n"/>
      <c r="AZ96" s="2806" t="n"/>
      <c r="BA96" s="2836" t="n"/>
    </row>
    <row customFormat="1" outlineLevel="1" r="97" s="2808" spans="1:55">
      <c r="A97" s="2837" t="s">
        <v>380</v>
      </c>
      <c r="B97" s="2781" t="n"/>
      <c r="C97" s="2838" t="s">
        <v>62</v>
      </c>
      <c r="F97" s="2781" t="n"/>
      <c r="G97" s="2838" t="s">
        <v>63</v>
      </c>
      <c r="J97" s="2781" t="n"/>
      <c r="K97" s="2838" t="s">
        <v>64</v>
      </c>
      <c r="N97" s="2839" t="n"/>
      <c r="O97" s="2838" t="s">
        <v>174</v>
      </c>
      <c r="R97" s="2781" t="n"/>
      <c r="S97" s="2838" t="s">
        <v>66</v>
      </c>
      <c r="V97" s="2839" t="n"/>
      <c r="W97" s="2838" t="s">
        <v>67</v>
      </c>
      <c r="Z97" s="2839" t="n"/>
      <c r="AA97" s="2838" t="s">
        <v>69</v>
      </c>
      <c r="AD97" s="2839" t="n"/>
      <c r="AE97" s="2838" t="s">
        <v>70</v>
      </c>
      <c r="AH97" s="2839" t="n"/>
      <c r="AI97" s="2838" t="s">
        <v>71</v>
      </c>
      <c r="AL97" s="2781" t="n"/>
      <c r="AM97" s="2838" t="s">
        <v>72</v>
      </c>
      <c r="AP97" s="2781" t="n"/>
      <c r="AQ97" s="2838" t="s">
        <v>73</v>
      </c>
      <c r="AT97" s="2781" t="n"/>
      <c r="AU97" s="2838" t="s">
        <v>74</v>
      </c>
      <c r="AX97" s="2781" t="n"/>
      <c r="AY97" s="2838" t="s">
        <v>173</v>
      </c>
    </row>
    <row customFormat="1" outlineLevel="1" r="98" s="2808" spans="1:55">
      <c r="A98" s="2840" t="n"/>
      <c r="B98" s="2785" t="n"/>
      <c r="C98" s="2840" t="s">
        <v>89</v>
      </c>
      <c r="D98" s="2840" t="s">
        <v>152</v>
      </c>
      <c r="E98" s="2840" t="s">
        <v>153</v>
      </c>
      <c r="F98" s="2785" t="n"/>
      <c r="G98" s="2840" t="s">
        <v>89</v>
      </c>
      <c r="H98" s="2840" t="s">
        <v>152</v>
      </c>
      <c r="I98" s="2840" t="s">
        <v>153</v>
      </c>
      <c r="J98" s="2785" t="n"/>
      <c r="K98" s="2840" t="s">
        <v>89</v>
      </c>
      <c r="L98" s="2840" t="s">
        <v>152</v>
      </c>
      <c r="M98" s="2840" t="s">
        <v>153</v>
      </c>
      <c r="N98" s="2839" t="n"/>
      <c r="O98" s="2840" t="s">
        <v>89</v>
      </c>
      <c r="P98" s="2840" t="s">
        <v>152</v>
      </c>
      <c r="Q98" s="2840" t="s">
        <v>153</v>
      </c>
      <c r="R98" s="2785" t="n"/>
      <c r="S98" s="2840" t="s">
        <v>89</v>
      </c>
      <c r="T98" s="2840" t="s">
        <v>152</v>
      </c>
      <c r="U98" s="2840" t="s">
        <v>153</v>
      </c>
      <c r="V98" s="2839" t="n"/>
      <c r="W98" s="2840" t="s">
        <v>89</v>
      </c>
      <c r="X98" s="2840" t="s">
        <v>152</v>
      </c>
      <c r="Y98" s="2840" t="s">
        <v>153</v>
      </c>
      <c r="Z98" s="2839" t="n"/>
      <c r="AA98" s="2840" t="s">
        <v>89</v>
      </c>
      <c r="AB98" s="2840" t="s">
        <v>152</v>
      </c>
      <c r="AC98" s="2840" t="s">
        <v>153</v>
      </c>
      <c r="AD98" s="2839" t="n"/>
      <c r="AE98" s="2840" t="s">
        <v>89</v>
      </c>
      <c r="AF98" s="2840" t="s">
        <v>152</v>
      </c>
      <c r="AG98" s="2840" t="s">
        <v>153</v>
      </c>
      <c r="AH98" s="2839" t="n"/>
      <c r="AI98" s="2840" t="s">
        <v>89</v>
      </c>
      <c r="AJ98" s="2840" t="s">
        <v>152</v>
      </c>
      <c r="AK98" s="2840" t="s">
        <v>153</v>
      </c>
      <c r="AL98" s="2785" t="n"/>
      <c r="AM98" s="2840" t="s">
        <v>89</v>
      </c>
      <c r="AN98" s="2840" t="s">
        <v>152</v>
      </c>
      <c r="AO98" s="2840" t="s">
        <v>153</v>
      </c>
      <c r="AP98" s="2785" t="n"/>
      <c r="AQ98" s="2840" t="s">
        <v>89</v>
      </c>
      <c r="AR98" s="2840" t="s">
        <v>152</v>
      </c>
      <c r="AS98" s="2840" t="s">
        <v>153</v>
      </c>
      <c r="AT98" s="2785" t="n"/>
      <c r="AU98" s="2840" t="s">
        <v>89</v>
      </c>
      <c r="AV98" s="2840" t="s">
        <v>152</v>
      </c>
      <c r="AW98" s="2840" t="s">
        <v>153</v>
      </c>
      <c r="AX98" s="2785" t="n"/>
      <c r="AY98" s="2840" t="s">
        <v>89</v>
      </c>
      <c r="AZ98" s="2840" t="s">
        <v>152</v>
      </c>
      <c r="BA98" s="2840" t="s">
        <v>153</v>
      </c>
    </row>
    <row customFormat="1" outlineLevel="1" r="99" s="2808" spans="1:55">
      <c r="A99" s="2841" t="s">
        <v>187</v>
      </c>
      <c r="B99" s="2789" t="n"/>
      <c r="C99" s="2842" t="n"/>
      <c r="D99" s="2842">
        <f>' SET Cost(staf+OS)'!D139/1000</f>
        <v/>
      </c>
      <c r="E99" s="2842" t="n"/>
      <c r="F99" s="2789" t="n"/>
      <c r="G99" s="2842" t="n"/>
      <c r="H99" s="2842">
        <f>' SET Cost(staf+OS)'!E139/1000</f>
        <v/>
      </c>
      <c r="I99" s="2842" t="n"/>
      <c r="J99" s="2789" t="n"/>
      <c r="K99" s="2842" t="n"/>
      <c r="L99" s="2842">
        <f>' SET Cost(staf+OS)'!F139/1000</f>
        <v/>
      </c>
      <c r="M99" s="2842" t="n"/>
      <c r="N99" s="2799" t="n"/>
      <c r="O99" s="2842" t="n"/>
      <c r="P99" s="2842">
        <f>' SET Cost(staf+OS)'!G139/1000</f>
        <v/>
      </c>
      <c r="Q99" s="2842" t="n"/>
      <c r="R99" s="2789" t="n"/>
      <c r="S99" s="2842" t="n"/>
      <c r="T99" s="2842">
        <f>' SET Cost(staf+OS)'!H139/1000</f>
        <v/>
      </c>
      <c r="U99" s="2842" t="n"/>
      <c r="V99" s="2799" t="n"/>
      <c r="W99" s="2842" t="n"/>
      <c r="X99" s="2842">
        <f>' SET Cost(staf+OS)'!I139/1000</f>
        <v/>
      </c>
      <c r="Y99" s="2842" t="n"/>
      <c r="Z99" s="2799" t="n"/>
      <c r="AA99" s="2842" t="n"/>
      <c r="AB99" s="2842">
        <f>' SET Cost(staf+OS)'!J139/1000</f>
        <v/>
      </c>
      <c r="AC99" s="2842" t="n"/>
      <c r="AD99" s="2799" t="n"/>
      <c r="AE99" s="2842" t="n"/>
      <c r="AF99" s="2842">
        <f>' SET Cost(staf+OS)'!K139/1000</f>
        <v/>
      </c>
      <c r="AG99" s="2842" t="n"/>
      <c r="AH99" s="2799" t="n"/>
      <c r="AI99" s="2842" t="n"/>
      <c r="AJ99" s="2842">
        <f>' SET Cost(staf+OS)'!L139/1000</f>
        <v/>
      </c>
      <c r="AK99" s="2842" t="n"/>
      <c r="AL99" s="2789" t="n"/>
      <c r="AM99" s="2842" t="n"/>
      <c r="AN99" s="2842">
        <f>' SET Cost(staf+OS)'!M139/1000</f>
        <v/>
      </c>
      <c r="AO99" s="2842" t="n"/>
      <c r="AP99" s="2789" t="n"/>
      <c r="AQ99" s="2842" t="n"/>
      <c r="AR99" s="2842">
        <f>' SET Cost(staf+OS)'!N139/1000</f>
        <v/>
      </c>
      <c r="AS99" s="2842" t="n"/>
      <c r="AT99" s="2789" t="n"/>
      <c r="AU99" s="2842" t="n"/>
      <c r="AV99" s="2842">
        <f>' SET Cost(staf+OS)'!O139/1000</f>
        <v/>
      </c>
      <c r="AW99" s="2842" t="n"/>
      <c r="AX99" s="2789" t="n"/>
      <c r="AY99" s="2841" t="n"/>
      <c r="AZ99" s="2841">
        <f>SUM(C99:AW99)</f>
        <v/>
      </c>
      <c r="BA99" s="2841" t="n"/>
    </row>
    <row customFormat="1" outlineLevel="1" r="100" s="2808" spans="1:55">
      <c r="A100" s="2841" t="s">
        <v>189</v>
      </c>
      <c r="B100" s="2789" t="n"/>
      <c r="C100" s="2842" t="n"/>
      <c r="D100" s="2842">
        <f>' SET Cost(staf+OS)'!D140/1000</f>
        <v/>
      </c>
      <c r="E100" s="2842" t="n"/>
      <c r="F100" s="2789" t="n"/>
      <c r="G100" s="2842" t="n"/>
      <c r="H100" s="2842">
        <f>' SET Cost(staf+OS)'!E140/1000</f>
        <v/>
      </c>
      <c r="I100" s="2842" t="n"/>
      <c r="J100" s="2789" t="n"/>
      <c r="K100" s="2842" t="n"/>
      <c r="L100" s="2842">
        <f>' SET Cost(staf+OS)'!F140/1000</f>
        <v/>
      </c>
      <c r="M100" s="2842" t="n"/>
      <c r="N100" s="2799" t="n"/>
      <c r="O100" s="2842" t="n"/>
      <c r="P100" s="2842">
        <f>' SET Cost(staf+OS)'!G140/1000</f>
        <v/>
      </c>
      <c r="Q100" s="2842" t="n"/>
      <c r="R100" s="2789" t="n"/>
      <c r="S100" s="2842" t="n"/>
      <c r="T100" s="2842">
        <f>' SET Cost(staf+OS)'!H140/1000</f>
        <v/>
      </c>
      <c r="U100" s="2842" t="n"/>
      <c r="V100" s="2799" t="n"/>
      <c r="W100" s="2842" t="n"/>
      <c r="X100" s="2842">
        <f>' SET Cost(staf+OS)'!I140/1000</f>
        <v/>
      </c>
      <c r="Y100" s="2842" t="n"/>
      <c r="Z100" s="2799" t="n"/>
      <c r="AA100" s="2842" t="n"/>
      <c r="AB100" s="2842">
        <f>' SET Cost(staf+OS)'!J140/1000</f>
        <v/>
      </c>
      <c r="AC100" s="2842" t="n"/>
      <c r="AD100" s="2799" t="n"/>
      <c r="AE100" s="2842" t="n"/>
      <c r="AF100" s="2842">
        <f>' SET Cost(staf+OS)'!K140/1000</f>
        <v/>
      </c>
      <c r="AG100" s="2842" t="n"/>
      <c r="AH100" s="2799" t="n"/>
      <c r="AI100" s="2842" t="n"/>
      <c r="AJ100" s="2842">
        <f>' SET Cost(staf+OS)'!L140/1000</f>
        <v/>
      </c>
      <c r="AK100" s="2842" t="n"/>
      <c r="AL100" s="2789" t="n"/>
      <c r="AM100" s="2842" t="n"/>
      <c r="AN100" s="2842">
        <f>' SET Cost(staf+OS)'!M140/1000</f>
        <v/>
      </c>
      <c r="AO100" s="2842" t="n"/>
      <c r="AP100" s="2789" t="n"/>
      <c r="AQ100" s="2842" t="n"/>
      <c r="AR100" s="2842">
        <f>' SET Cost(staf+OS)'!N140/1000</f>
        <v/>
      </c>
      <c r="AS100" s="2842" t="n"/>
      <c r="AT100" s="2789" t="n"/>
      <c r="AU100" s="2842" t="n"/>
      <c r="AV100" s="2842">
        <f>' SET Cost(staf+OS)'!O140/1000</f>
        <v/>
      </c>
      <c r="AW100" s="2842" t="n"/>
      <c r="AX100" s="2789" t="n"/>
      <c r="AY100" s="2841" t="n"/>
      <c r="AZ100" s="2841">
        <f>SUM(C100:AW100)</f>
        <v/>
      </c>
      <c r="BA100" s="2841" t="n"/>
    </row>
    <row customFormat="1" outlineLevel="1" r="101" s="2808" spans="1:55">
      <c r="A101" s="2841" t="s">
        <v>252</v>
      </c>
      <c r="B101" s="2789" t="n"/>
      <c r="C101" s="2842" t="n"/>
      <c r="D101" s="2842">
        <f>' SET Cost(staf+OS)'!D141/1000</f>
        <v/>
      </c>
      <c r="E101" s="2842" t="n"/>
      <c r="F101" s="2789" t="n"/>
      <c r="G101" s="2842" t="n"/>
      <c r="H101" s="2842">
        <f>' SET Cost(staf+OS)'!E141/1000</f>
        <v/>
      </c>
      <c r="I101" s="2842" t="n"/>
      <c r="J101" s="2789" t="n"/>
      <c r="K101" s="2842" t="n"/>
      <c r="L101" s="2842">
        <f>' SET Cost(staf+OS)'!F141/1000</f>
        <v/>
      </c>
      <c r="M101" s="2842" t="n"/>
      <c r="N101" s="2799" t="n"/>
      <c r="O101" s="2842" t="n"/>
      <c r="P101" s="2842">
        <f>' SET Cost(staf+OS)'!G141/1000</f>
        <v/>
      </c>
      <c r="Q101" s="2842" t="n"/>
      <c r="R101" s="2789" t="n"/>
      <c r="S101" s="2842" t="n"/>
      <c r="T101" s="2842">
        <f>' SET Cost(staf+OS)'!H141/1000</f>
        <v/>
      </c>
      <c r="U101" s="2842" t="n"/>
      <c r="V101" s="2799" t="n"/>
      <c r="W101" s="2842" t="n"/>
      <c r="X101" s="2842">
        <f>' SET Cost(staf+OS)'!I141/1000</f>
        <v/>
      </c>
      <c r="Y101" s="2842" t="n"/>
      <c r="Z101" s="2799" t="n"/>
      <c r="AA101" s="2842" t="n"/>
      <c r="AB101" s="2842">
        <f>' SET Cost(staf+OS)'!J141/1000</f>
        <v/>
      </c>
      <c r="AC101" s="2842" t="n"/>
      <c r="AD101" s="2799" t="n"/>
      <c r="AE101" s="2842" t="n"/>
      <c r="AF101" s="2842">
        <f>' SET Cost(staf+OS)'!K141/1000</f>
        <v/>
      </c>
      <c r="AG101" s="2842" t="n"/>
      <c r="AH101" s="2799" t="n"/>
      <c r="AI101" s="2842" t="n"/>
      <c r="AJ101" s="2842">
        <f>' SET Cost(staf+OS)'!L141/1000</f>
        <v/>
      </c>
      <c r="AK101" s="2842" t="n"/>
      <c r="AL101" s="2789" t="n"/>
      <c r="AM101" s="2842" t="n"/>
      <c r="AN101" s="2842">
        <f>' SET Cost(staf+OS)'!M141/1000</f>
        <v/>
      </c>
      <c r="AO101" s="2842" t="n"/>
      <c r="AP101" s="2789" t="n"/>
      <c r="AQ101" s="2842" t="n"/>
      <c r="AR101" s="2842">
        <f>' SET Cost(staf+OS)'!N141/1000</f>
        <v/>
      </c>
      <c r="AS101" s="2842" t="n"/>
      <c r="AT101" s="2789" t="n"/>
      <c r="AU101" s="2842" t="n"/>
      <c r="AV101" s="2842">
        <f>' SET Cost(staf+OS)'!O141/1000</f>
        <v/>
      </c>
      <c r="AW101" s="2842" t="n"/>
      <c r="AX101" s="2789" t="n"/>
      <c r="AY101" s="2841" t="n"/>
      <c r="AZ101" s="2841">
        <f>SUM(C101:AW101)</f>
        <v/>
      </c>
      <c r="BA101" s="2841" t="n"/>
    </row>
    <row customFormat="1" outlineLevel="1" r="102" s="2808" spans="1:55">
      <c r="A102" s="2841" t="s">
        <v>191</v>
      </c>
      <c r="B102" s="2789" t="n"/>
      <c r="C102" s="2842" t="n"/>
      <c r="D102" s="2842">
        <f>' SET Cost(staf+OS)'!D142/1000</f>
        <v/>
      </c>
      <c r="E102" s="2842" t="n"/>
      <c r="F102" s="2789" t="n"/>
      <c r="G102" s="2842" t="n"/>
      <c r="H102" s="2842">
        <f>' SET Cost(staf+OS)'!E142/1000</f>
        <v/>
      </c>
      <c r="I102" s="2842" t="n"/>
      <c r="J102" s="2789" t="n"/>
      <c r="K102" s="2842" t="n"/>
      <c r="L102" s="2842">
        <f>' SET Cost(staf+OS)'!F142/1000</f>
        <v/>
      </c>
      <c r="M102" s="2842" t="n"/>
      <c r="N102" s="2799" t="n"/>
      <c r="O102" s="2842" t="n"/>
      <c r="P102" s="2842">
        <f>' SET Cost(staf+OS)'!G142/1000</f>
        <v/>
      </c>
      <c r="Q102" s="2842" t="n"/>
      <c r="R102" s="2789" t="n"/>
      <c r="S102" s="2842" t="n"/>
      <c r="T102" s="2842">
        <f>' SET Cost(staf+OS)'!H142/1000</f>
        <v/>
      </c>
      <c r="U102" s="2842" t="n"/>
      <c r="V102" s="2799" t="n"/>
      <c r="W102" s="2842" t="n"/>
      <c r="X102" s="2842">
        <f>' SET Cost(staf+OS)'!I142/1000</f>
        <v/>
      </c>
      <c r="Y102" s="2842" t="n"/>
      <c r="Z102" s="2799" t="n"/>
      <c r="AA102" s="2842" t="n"/>
      <c r="AB102" s="2842">
        <f>' SET Cost(staf+OS)'!J142/1000</f>
        <v/>
      </c>
      <c r="AC102" s="2842" t="n"/>
      <c r="AD102" s="2799" t="n"/>
      <c r="AE102" s="2842" t="n"/>
      <c r="AF102" s="2842">
        <f>' SET Cost(staf+OS)'!K142/1000</f>
        <v/>
      </c>
      <c r="AG102" s="2842" t="n"/>
      <c r="AH102" s="2799" t="n"/>
      <c r="AI102" s="2842" t="n"/>
      <c r="AJ102" s="2842">
        <f>' SET Cost(staf+OS)'!L142/1000</f>
        <v/>
      </c>
      <c r="AK102" s="2842" t="n"/>
      <c r="AL102" s="2789" t="n"/>
      <c r="AM102" s="2842" t="n"/>
      <c r="AN102" s="2842">
        <f>' SET Cost(staf+OS)'!M142/1000</f>
        <v/>
      </c>
      <c r="AO102" s="2842" t="n"/>
      <c r="AP102" s="2789" t="n"/>
      <c r="AQ102" s="2842" t="n"/>
      <c r="AR102" s="2842">
        <f>' SET Cost(staf+OS)'!N142/1000</f>
        <v/>
      </c>
      <c r="AS102" s="2842" t="n"/>
      <c r="AT102" s="2789" t="n"/>
      <c r="AU102" s="2842" t="n"/>
      <c r="AV102" s="2842">
        <f>' SET Cost(staf+OS)'!O142/1000</f>
        <v/>
      </c>
      <c r="AW102" s="2842" t="n"/>
      <c r="AX102" s="2789" t="n"/>
      <c r="AY102" s="2841" t="n"/>
      <c r="AZ102" s="2841">
        <f>SUM(C102:AW102)</f>
        <v/>
      </c>
      <c r="BA102" s="2841" t="n"/>
    </row>
    <row customFormat="1" outlineLevel="1" r="103" s="2808" spans="1:55">
      <c r="A103" s="2841" t="s">
        <v>192</v>
      </c>
      <c r="B103" s="2789" t="n"/>
      <c r="C103" s="2842" t="n"/>
      <c r="D103" s="2842">
        <f>' SET Cost(staf+OS)'!D143/1000</f>
        <v/>
      </c>
      <c r="E103" s="2842" t="n"/>
      <c r="F103" s="2789" t="n"/>
      <c r="G103" s="2842" t="n"/>
      <c r="H103" s="2842">
        <f>' SET Cost(staf+OS)'!E143/1000</f>
        <v/>
      </c>
      <c r="I103" s="2842" t="n"/>
      <c r="J103" s="2789" t="n"/>
      <c r="K103" s="2842" t="n"/>
      <c r="L103" s="2842">
        <f>' SET Cost(staf+OS)'!F143/1000</f>
        <v/>
      </c>
      <c r="M103" s="2842" t="n"/>
      <c r="N103" s="2799" t="n"/>
      <c r="O103" s="2842" t="n"/>
      <c r="P103" s="2842">
        <f>' SET Cost(staf+OS)'!G143/1000</f>
        <v/>
      </c>
      <c r="Q103" s="2842" t="n"/>
      <c r="R103" s="2789" t="n"/>
      <c r="S103" s="2842" t="n"/>
      <c r="T103" s="2842">
        <f>' SET Cost(staf+OS)'!H143/1000</f>
        <v/>
      </c>
      <c r="U103" s="2842" t="n"/>
      <c r="V103" s="2799" t="n"/>
      <c r="W103" s="2842" t="n"/>
      <c r="X103" s="2842">
        <f>' SET Cost(staf+OS)'!I143/1000</f>
        <v/>
      </c>
      <c r="Y103" s="2842" t="n"/>
      <c r="Z103" s="2799" t="n"/>
      <c r="AA103" s="2842" t="n"/>
      <c r="AB103" s="2842">
        <f>' SET Cost(staf+OS)'!J143/1000</f>
        <v/>
      </c>
      <c r="AC103" s="2842" t="n"/>
      <c r="AD103" s="2799" t="n"/>
      <c r="AE103" s="2842" t="n"/>
      <c r="AF103" s="2842">
        <f>' SET Cost(staf+OS)'!K143/1000</f>
        <v/>
      </c>
      <c r="AG103" s="2842" t="n"/>
      <c r="AH103" s="2799" t="n"/>
      <c r="AI103" s="2842" t="n"/>
      <c r="AJ103" s="2842">
        <f>' SET Cost(staf+OS)'!L143/1000</f>
        <v/>
      </c>
      <c r="AK103" s="2842" t="n"/>
      <c r="AL103" s="2789" t="n"/>
      <c r="AM103" s="2842" t="n"/>
      <c r="AN103" s="2842">
        <f>' SET Cost(staf+OS)'!M143/1000</f>
        <v/>
      </c>
      <c r="AO103" s="2842" t="n"/>
      <c r="AP103" s="2789" t="n"/>
      <c r="AQ103" s="2842" t="n"/>
      <c r="AR103" s="2842">
        <f>' SET Cost(staf+OS)'!N143/1000</f>
        <v/>
      </c>
      <c r="AS103" s="2842" t="n"/>
      <c r="AT103" s="2789" t="n"/>
      <c r="AU103" s="2842" t="n"/>
      <c r="AV103" s="2842">
        <f>' SET Cost(staf+OS)'!O143/1000</f>
        <v/>
      </c>
      <c r="AW103" s="2842" t="n"/>
      <c r="AX103" s="2789" t="n"/>
      <c r="AY103" s="2841" t="n"/>
      <c r="AZ103" s="2841">
        <f>SUM(C103:AW103)</f>
        <v/>
      </c>
      <c r="BA103" s="2841" t="n"/>
    </row>
    <row customFormat="1" outlineLevel="1" r="104" s="2808" spans="1:55">
      <c r="A104" s="2841" t="s">
        <v>194</v>
      </c>
      <c r="B104" s="2789" t="n"/>
      <c r="C104" s="2842" t="n"/>
      <c r="D104" s="2842">
        <f>' SET Cost(staf+OS)'!D144/1000+'OS&amp;Travel Exp'!C66/1000</f>
        <v/>
      </c>
      <c r="E104" s="2842" t="n"/>
      <c r="F104" s="2789" t="n"/>
      <c r="G104" s="2842" t="n"/>
      <c r="H104" s="2842">
        <f>' SET Cost(staf+OS)'!E144/1000+'OS&amp;Travel Exp'!D66/1000</f>
        <v/>
      </c>
      <c r="I104" s="2842" t="n"/>
      <c r="J104" s="2789" t="n"/>
      <c r="K104" s="2842" t="n"/>
      <c r="L104" s="2842">
        <f>' SET Cost(staf+OS)'!F144/1000+'OS&amp;Travel Exp'!E66/1000</f>
        <v/>
      </c>
      <c r="M104" s="2842" t="n"/>
      <c r="N104" s="2799" t="n"/>
      <c r="O104" s="2842" t="n"/>
      <c r="P104" s="2842">
        <f>' SET Cost(staf+OS)'!G144/1000+'OS&amp;Travel Exp'!F66/1000</f>
        <v/>
      </c>
      <c r="Q104" s="2842" t="n"/>
      <c r="R104" s="2789" t="n"/>
      <c r="S104" s="2842" t="n"/>
      <c r="T104" s="2842">
        <f>' SET Cost(staf+OS)'!H144/1000+'OS&amp;Travel Exp'!G66/1000</f>
        <v/>
      </c>
      <c r="U104" s="2842" t="n"/>
      <c r="V104" s="2799" t="n"/>
      <c r="W104" s="2842" t="n"/>
      <c r="X104" s="2842">
        <f>' SET Cost(staf+OS)'!I144/1000+'OS&amp;Travel Exp'!H66/1000</f>
        <v/>
      </c>
      <c r="Y104" s="2842" t="n"/>
      <c r="Z104" s="2799" t="n"/>
      <c r="AA104" s="2842" t="n"/>
      <c r="AB104" s="2842">
        <f>' SET Cost(staf+OS)'!J144/1000+'OS&amp;Travel Exp'!I66/1000</f>
        <v/>
      </c>
      <c r="AC104" s="2842" t="n"/>
      <c r="AD104" s="2799" t="n"/>
      <c r="AE104" s="2842" t="n"/>
      <c r="AF104" s="2842">
        <f>' SET Cost(staf+OS)'!K144/1000+'OS&amp;Travel Exp'!J66/1000</f>
        <v/>
      </c>
      <c r="AG104" s="2842" t="n"/>
      <c r="AH104" s="2799" t="n"/>
      <c r="AI104" s="2842" t="n"/>
      <c r="AJ104" s="2842">
        <f>' SET Cost(staf+OS)'!L144/1000+'OS&amp;Travel Exp'!K66/1000</f>
        <v/>
      </c>
      <c r="AK104" s="2842" t="n"/>
      <c r="AL104" s="2789" t="n"/>
      <c r="AM104" s="2842" t="n"/>
      <c r="AN104" s="2842">
        <f>' SET Cost(staf+OS)'!M144/1000+'OS&amp;Travel Exp'!L66/1000</f>
        <v/>
      </c>
      <c r="AO104" s="2842" t="n"/>
      <c r="AP104" s="2789" t="n"/>
      <c r="AQ104" s="2842" t="n"/>
      <c r="AR104" s="2842">
        <f>' SET Cost(staf+OS)'!N144/1000+'OS&amp;Travel Exp'!M66/1000</f>
        <v/>
      </c>
      <c r="AS104" s="2842" t="n"/>
      <c r="AT104" s="2789" t="n"/>
      <c r="AU104" s="2842" t="n"/>
      <c r="AV104" s="2842">
        <f>' SET Cost(staf+OS)'!O144/1000+'OS&amp;Travel Exp'!N66/1000</f>
        <v/>
      </c>
      <c r="AW104" s="2842" t="n"/>
      <c r="AX104" s="2789" t="n"/>
      <c r="AY104" s="2841" t="n"/>
      <c r="AZ104" s="2841">
        <f>SUM(C104:AW104)</f>
        <v/>
      </c>
      <c r="BA104" s="2841" t="n"/>
    </row>
    <row customFormat="1" outlineLevel="1" r="105" s="2808" spans="1:55">
      <c r="A105" s="2841" t="s">
        <v>195</v>
      </c>
      <c r="B105" s="2789" t="n"/>
      <c r="C105" s="2842" t="n"/>
      <c r="D105" s="2842">
        <f>' SET Cost(staf+OS)'!D145/1000</f>
        <v/>
      </c>
      <c r="E105" s="2842" t="n"/>
      <c r="F105" s="2789" t="n"/>
      <c r="G105" s="2842" t="n"/>
      <c r="H105" s="2842">
        <f>' SET Cost(staf+OS)'!E145/1000</f>
        <v/>
      </c>
      <c r="I105" s="2842" t="n"/>
      <c r="J105" s="2789" t="n"/>
      <c r="K105" s="2842" t="n"/>
      <c r="L105" s="2842">
        <f>' SET Cost(staf+OS)'!F145/1000</f>
        <v/>
      </c>
      <c r="M105" s="2842" t="n"/>
      <c r="N105" s="2799" t="n"/>
      <c r="O105" s="2842" t="n"/>
      <c r="P105" s="2842">
        <f>' SET Cost(staf+OS)'!G145/1000</f>
        <v/>
      </c>
      <c r="Q105" s="2842" t="n"/>
      <c r="R105" s="2789" t="n"/>
      <c r="S105" s="2842" t="n"/>
      <c r="T105" s="2842">
        <f>' SET Cost(staf+OS)'!H145/1000</f>
        <v/>
      </c>
      <c r="U105" s="2842" t="n"/>
      <c r="V105" s="2799" t="n"/>
      <c r="W105" s="2842" t="n"/>
      <c r="X105" s="2842">
        <f>' SET Cost(staf+OS)'!I145/1000</f>
        <v/>
      </c>
      <c r="Y105" s="2842" t="n"/>
      <c r="Z105" s="2799" t="n"/>
      <c r="AA105" s="2842" t="n"/>
      <c r="AB105" s="2842">
        <f>' SET Cost(staf+OS)'!J145/1000</f>
        <v/>
      </c>
      <c r="AC105" s="2842" t="n"/>
      <c r="AD105" s="2799" t="n"/>
      <c r="AE105" s="2842" t="n"/>
      <c r="AF105" s="2842">
        <f>' SET Cost(staf+OS)'!K145/1000</f>
        <v/>
      </c>
      <c r="AG105" s="2842" t="n"/>
      <c r="AH105" s="2799" t="n"/>
      <c r="AI105" s="2842" t="n"/>
      <c r="AJ105" s="2842">
        <f>' SET Cost(staf+OS)'!L145/1000</f>
        <v/>
      </c>
      <c r="AK105" s="2842" t="n"/>
      <c r="AL105" s="2789" t="n"/>
      <c r="AM105" s="2842" t="n"/>
      <c r="AN105" s="2842">
        <f>' SET Cost(staf+OS)'!M145/1000</f>
        <v/>
      </c>
      <c r="AO105" s="2842" t="n"/>
      <c r="AP105" s="2789" t="n"/>
      <c r="AQ105" s="2842" t="n"/>
      <c r="AR105" s="2842">
        <f>' SET Cost(staf+OS)'!N145/1000</f>
        <v/>
      </c>
      <c r="AS105" s="2842" t="n"/>
      <c r="AT105" s="2789" t="n"/>
      <c r="AU105" s="2842" t="n"/>
      <c r="AV105" s="2842">
        <f>' SET Cost(staf+OS)'!O145/1000</f>
        <v/>
      </c>
      <c r="AW105" s="2842" t="n"/>
      <c r="AX105" s="2789" t="n"/>
      <c r="AY105" s="2841" t="n"/>
      <c r="AZ105" s="2841">
        <f>SUM(C105:AW105)</f>
        <v/>
      </c>
      <c r="BA105" s="2841" t="n"/>
    </row>
    <row customFormat="1" outlineLevel="1" r="106" s="2808" spans="1:55">
      <c r="A106" s="2843" t="s">
        <v>366</v>
      </c>
      <c r="B106" s="2793" t="n"/>
      <c r="C106" s="2844" t="n"/>
      <c r="D106" s="2844">
        <f>'OS&amp;Travel Exp'!C18</f>
        <v/>
      </c>
      <c r="E106" s="2844" t="n"/>
      <c r="F106" s="2793" t="n"/>
      <c r="G106" s="2844" t="n"/>
      <c r="H106" s="2844">
        <f>'OS&amp;Travel Exp'!D18</f>
        <v/>
      </c>
      <c r="I106" s="2844" t="n"/>
      <c r="J106" s="2793" t="n"/>
      <c r="K106" s="2844" t="n"/>
      <c r="L106" s="2844">
        <f>'OS&amp;Travel Exp'!E18</f>
        <v/>
      </c>
      <c r="M106" s="2844" t="n"/>
      <c r="N106" s="2795" t="n"/>
      <c r="O106" s="2844" t="n"/>
      <c r="P106" s="2844">
        <f>'OS&amp;Travel Exp'!F18</f>
        <v/>
      </c>
      <c r="Q106" s="2844" t="n"/>
      <c r="R106" s="2793" t="n"/>
      <c r="S106" s="2844" t="n"/>
      <c r="T106" s="2844">
        <f>'OS&amp;Travel Exp'!G18</f>
        <v/>
      </c>
      <c r="U106" s="2844" t="n"/>
      <c r="V106" s="2795" t="n"/>
      <c r="W106" s="2844" t="n"/>
      <c r="X106" s="2844">
        <f>'OS&amp;Travel Exp'!H18</f>
        <v/>
      </c>
      <c r="Y106" s="2844" t="n"/>
      <c r="Z106" s="2795" t="n"/>
      <c r="AA106" s="2844" t="n"/>
      <c r="AB106" s="2844">
        <f>'OS&amp;Travel Exp'!I18</f>
        <v/>
      </c>
      <c r="AC106" s="2844" t="n"/>
      <c r="AD106" s="2795" t="n"/>
      <c r="AE106" s="2844" t="n"/>
      <c r="AF106" s="2844">
        <f>'OS&amp;Travel Exp'!J18</f>
        <v/>
      </c>
      <c r="AG106" s="2844" t="n"/>
      <c r="AH106" s="2795" t="n"/>
      <c r="AI106" s="2844" t="n"/>
      <c r="AJ106" s="2844">
        <f>'OS&amp;Travel Exp'!K18</f>
        <v/>
      </c>
      <c r="AK106" s="2844" t="n"/>
      <c r="AL106" s="2793" t="n"/>
      <c r="AM106" s="2844" t="n"/>
      <c r="AN106" s="2844">
        <f>'OS&amp;Travel Exp'!L18</f>
        <v/>
      </c>
      <c r="AO106" s="2844" t="n"/>
      <c r="AP106" s="2793" t="n"/>
      <c r="AQ106" s="2844" t="n"/>
      <c r="AR106" s="2844">
        <f>'OS&amp;Travel Exp'!M18</f>
        <v/>
      </c>
      <c r="AS106" s="2844" t="n"/>
      <c r="AT106" s="2793" t="n"/>
      <c r="AU106" s="2844" t="n"/>
      <c r="AV106" s="2844">
        <f>'OS&amp;Travel Exp'!N18</f>
        <v/>
      </c>
      <c r="AW106" s="2844" t="n"/>
      <c r="AX106" s="2793" t="n"/>
      <c r="AY106" s="2843" t="n"/>
      <c r="AZ106" s="2843">
        <f>SUM(C106:AW106)</f>
        <v/>
      </c>
      <c r="BA106" s="2843" t="n"/>
    </row>
    <row customFormat="1" outlineLevel="1" r="107" s="2808" spans="1:55">
      <c r="A107" s="2841" t="s">
        <v>161</v>
      </c>
      <c r="B107" s="2789" t="n"/>
      <c r="C107" s="2842" t="n"/>
      <c r="D107" s="2842">
        <f>' SET Cost(staf+OS)'!D147/1000</f>
        <v/>
      </c>
      <c r="E107" s="2842" t="n"/>
      <c r="F107" s="2789" t="n"/>
      <c r="G107" s="2842" t="n"/>
      <c r="H107" s="2842">
        <f>' SET Cost(staf+OS)'!E147/1000</f>
        <v/>
      </c>
      <c r="I107" s="2842" t="n"/>
      <c r="J107" s="2789" t="n"/>
      <c r="K107" s="2842" t="n"/>
      <c r="L107" s="2842">
        <f>' SET Cost(staf+OS)'!F147/1000</f>
        <v/>
      </c>
      <c r="M107" s="2842" t="n"/>
      <c r="N107" s="2799" t="n"/>
      <c r="O107" s="2842" t="n"/>
      <c r="P107" s="2842">
        <f>' SET Cost(staf+OS)'!G147/1000</f>
        <v/>
      </c>
      <c r="Q107" s="2842" t="n"/>
      <c r="R107" s="2789" t="n"/>
      <c r="S107" s="2842" t="n"/>
      <c r="T107" s="2842">
        <f>' SET Cost(staf+OS)'!H147/1000</f>
        <v/>
      </c>
      <c r="U107" s="2842" t="n"/>
      <c r="V107" s="2799" t="n"/>
      <c r="W107" s="2842" t="n"/>
      <c r="X107" s="2842">
        <f>' SET Cost(staf+OS)'!I147/1000</f>
        <v/>
      </c>
      <c r="Y107" s="2842" t="n"/>
      <c r="Z107" s="2799" t="n"/>
      <c r="AA107" s="2842" t="n"/>
      <c r="AB107" s="2842">
        <f>' SET Cost(staf+OS)'!J147/1000</f>
        <v/>
      </c>
      <c r="AC107" s="2842" t="n"/>
      <c r="AD107" s="2799" t="n"/>
      <c r="AE107" s="2842" t="n"/>
      <c r="AF107" s="2842">
        <f>' SET Cost(staf+OS)'!K147/1000</f>
        <v/>
      </c>
      <c r="AG107" s="2842" t="n"/>
      <c r="AH107" s="2799" t="n"/>
      <c r="AI107" s="2842" t="n"/>
      <c r="AJ107" s="2842">
        <f>' SET Cost(staf+OS)'!L147/1000</f>
        <v/>
      </c>
      <c r="AK107" s="2842" t="n"/>
      <c r="AL107" s="2789" t="n"/>
      <c r="AM107" s="2842" t="n"/>
      <c r="AN107" s="2842">
        <f>' SET Cost(staf+OS)'!M147/1000</f>
        <v/>
      </c>
      <c r="AO107" s="2842" t="n"/>
      <c r="AP107" s="2789" t="n"/>
      <c r="AQ107" s="2842" t="n"/>
      <c r="AR107" s="2842">
        <f>' SET Cost(staf+OS)'!N147/1000</f>
        <v/>
      </c>
      <c r="AS107" s="2842" t="n"/>
      <c r="AT107" s="2789" t="n"/>
      <c r="AU107" s="2842" t="n"/>
      <c r="AV107" s="2842">
        <f>' SET Cost(staf+OS)'!O147/1000</f>
        <v/>
      </c>
      <c r="AW107" s="2842" t="n"/>
      <c r="AX107" s="2789" t="n"/>
      <c r="AY107" s="2841" t="n"/>
      <c r="AZ107" s="2841">
        <f>SUM(C107:AW107)</f>
        <v/>
      </c>
      <c r="BA107" s="2841" t="n"/>
    </row>
    <row customFormat="1" outlineLevel="1" r="108" s="2808" spans="1:55">
      <c r="A108" s="2845" t="s">
        <v>367</v>
      </c>
      <c r="B108" s="2789" t="n"/>
      <c r="C108" s="2842" t="n"/>
      <c r="D108" s="2842">
        <f>' SET Cost(staf+OS)'!D148/1000</f>
        <v/>
      </c>
      <c r="E108" s="2842" t="n"/>
      <c r="F108" s="2789" t="n"/>
      <c r="G108" s="2842" t="n"/>
      <c r="H108" s="2842">
        <f>' SET Cost(staf+OS)'!E148/1000</f>
        <v/>
      </c>
      <c r="I108" s="2842" t="n"/>
      <c r="J108" s="2789" t="n"/>
      <c r="K108" s="2842" t="n"/>
      <c r="L108" s="2842">
        <f>' SET Cost(staf+OS)'!F148/1000</f>
        <v/>
      </c>
      <c r="M108" s="2842" t="n"/>
      <c r="N108" s="2799" t="n"/>
      <c r="O108" s="2842" t="n"/>
      <c r="P108" s="2842">
        <f>' SET Cost(staf+OS)'!G148/1000</f>
        <v/>
      </c>
      <c r="Q108" s="2842" t="n"/>
      <c r="R108" s="2789" t="n"/>
      <c r="S108" s="2842" t="n"/>
      <c r="T108" s="2842">
        <f>' SET Cost(staf+OS)'!H148/1000</f>
        <v/>
      </c>
      <c r="U108" s="2842" t="n"/>
      <c r="V108" s="2799" t="n"/>
      <c r="W108" s="2842" t="n"/>
      <c r="X108" s="2842">
        <f>' SET Cost(staf+OS)'!I148/1000</f>
        <v/>
      </c>
      <c r="Y108" s="2842" t="n"/>
      <c r="Z108" s="2799" t="n"/>
      <c r="AA108" s="2842" t="n"/>
      <c r="AB108" s="2842">
        <f>' SET Cost(staf+OS)'!J148/1000</f>
        <v/>
      </c>
      <c r="AC108" s="2842" t="n"/>
      <c r="AD108" s="2799" t="n"/>
      <c r="AE108" s="2842" t="n"/>
      <c r="AF108" s="2842">
        <f>' SET Cost(staf+OS)'!K148/1000</f>
        <v/>
      </c>
      <c r="AG108" s="2842" t="n"/>
      <c r="AH108" s="2799" t="n"/>
      <c r="AI108" s="2842" t="n"/>
      <c r="AJ108" s="2842">
        <f>' SET Cost(staf+OS)'!L148/1000</f>
        <v/>
      </c>
      <c r="AK108" s="2842" t="n"/>
      <c r="AL108" s="2789" t="n"/>
      <c r="AM108" s="2842" t="n"/>
      <c r="AN108" s="2842">
        <f>' SET Cost(staf+OS)'!M148/1000</f>
        <v/>
      </c>
      <c r="AO108" s="2842" t="n"/>
      <c r="AP108" s="2789" t="n"/>
      <c r="AQ108" s="2842" t="n"/>
      <c r="AR108" s="2842">
        <f>' SET Cost(staf+OS)'!N148/1000</f>
        <v/>
      </c>
      <c r="AS108" s="2842" t="n"/>
      <c r="AT108" s="2789" t="n"/>
      <c r="AU108" s="2842" t="n"/>
      <c r="AV108" s="2842">
        <f>' SET Cost(staf+OS)'!O148/1000</f>
        <v/>
      </c>
      <c r="AW108" s="2842" t="n"/>
      <c r="AX108" s="2789" t="n"/>
      <c r="AY108" s="2841" t="n"/>
      <c r="AZ108" s="2841">
        <f>SUM(C108:AW108)</f>
        <v/>
      </c>
      <c r="BA108" s="2841" t="n"/>
    </row>
    <row customFormat="1" outlineLevel="1" r="109" s="2808" spans="1:55">
      <c r="A109" s="2845" t="s">
        <v>232</v>
      </c>
      <c r="B109" s="2789" t="n"/>
      <c r="C109" s="2842" t="n"/>
      <c r="D109" s="2842">
        <f>' SET Cost(staf+OS)'!D149/1000</f>
        <v/>
      </c>
      <c r="E109" s="2842" t="n"/>
      <c r="F109" s="2789" t="n"/>
      <c r="G109" s="2842" t="n"/>
      <c r="H109" s="2842">
        <f>' SET Cost(staf+OS)'!E149/1000</f>
        <v/>
      </c>
      <c r="I109" s="2842" t="n"/>
      <c r="J109" s="2789" t="n"/>
      <c r="K109" s="2842" t="n"/>
      <c r="L109" s="2842">
        <f>' SET Cost(staf+OS)'!F149/1000</f>
        <v/>
      </c>
      <c r="M109" s="2842" t="n"/>
      <c r="N109" s="2799" t="n"/>
      <c r="O109" s="2842" t="n"/>
      <c r="P109" s="2842">
        <f>' SET Cost(staf+OS)'!G149/1000</f>
        <v/>
      </c>
      <c r="Q109" s="2842" t="n"/>
      <c r="R109" s="2789" t="n"/>
      <c r="S109" s="2842" t="n"/>
      <c r="T109" s="2842">
        <f>' SET Cost(staf+OS)'!H149/1000</f>
        <v/>
      </c>
      <c r="U109" s="2842" t="n"/>
      <c r="V109" s="2799" t="n"/>
      <c r="W109" s="2842" t="n"/>
      <c r="X109" s="2842">
        <f>' SET Cost(staf+OS)'!I149/1000</f>
        <v/>
      </c>
      <c r="Y109" s="2842" t="n"/>
      <c r="Z109" s="2799" t="n"/>
      <c r="AA109" s="2842" t="n"/>
      <c r="AB109" s="2842">
        <f>' SET Cost(staf+OS)'!J149/1000</f>
        <v/>
      </c>
      <c r="AC109" s="2842" t="n"/>
      <c r="AD109" s="2799" t="n"/>
      <c r="AE109" s="2842" t="n"/>
      <c r="AF109" s="2842">
        <f>' SET Cost(staf+OS)'!K149/1000</f>
        <v/>
      </c>
      <c r="AG109" s="2842" t="n"/>
      <c r="AH109" s="2799" t="n"/>
      <c r="AI109" s="2842" t="n"/>
      <c r="AJ109" s="2842">
        <f>' SET Cost(staf+OS)'!L149/1000</f>
        <v/>
      </c>
      <c r="AK109" s="2842" t="n"/>
      <c r="AL109" s="2789" t="n"/>
      <c r="AM109" s="2842" t="n"/>
      <c r="AN109" s="2842">
        <f>' SET Cost(staf+OS)'!M149/1000</f>
        <v/>
      </c>
      <c r="AO109" s="2842" t="n"/>
      <c r="AP109" s="2789" t="n"/>
      <c r="AQ109" s="2842" t="n"/>
      <c r="AR109" s="2842">
        <f>' SET Cost(staf+OS)'!N149/1000</f>
        <v/>
      </c>
      <c r="AS109" s="2842" t="n"/>
      <c r="AT109" s="2789" t="n"/>
      <c r="AU109" s="2842" t="n"/>
      <c r="AV109" s="2842">
        <f>' SET Cost(staf+OS)'!O149/1000</f>
        <v/>
      </c>
      <c r="AW109" s="2842" t="n"/>
      <c r="AX109" s="2789" t="n"/>
      <c r="AY109" s="2841" t="n"/>
      <c r="AZ109" s="2841">
        <f>SUM(C109:AW109)</f>
        <v/>
      </c>
      <c r="BA109" s="2841" t="n"/>
    </row>
    <row customFormat="1" outlineLevel="1" r="110" s="2808" spans="1:55">
      <c r="A110" s="2845" t="s">
        <v>233</v>
      </c>
      <c r="B110" s="2789" t="n"/>
      <c r="C110" s="2842" t="n"/>
      <c r="D110" s="2842">
        <f>' SET Cost(staf+OS)'!D150/1000</f>
        <v/>
      </c>
      <c r="E110" s="2842" t="n"/>
      <c r="F110" s="2789" t="n"/>
      <c r="G110" s="2842" t="n"/>
      <c r="H110" s="2842">
        <f>' SET Cost(staf+OS)'!E150/1000</f>
        <v/>
      </c>
      <c r="I110" s="2842" t="n"/>
      <c r="J110" s="2789" t="n"/>
      <c r="K110" s="2842" t="n"/>
      <c r="L110" s="2842">
        <f>' SET Cost(staf+OS)'!F150/1000</f>
        <v/>
      </c>
      <c r="M110" s="2842" t="n"/>
      <c r="N110" s="2799" t="n"/>
      <c r="O110" s="2842" t="n"/>
      <c r="P110" s="2842">
        <f>' SET Cost(staf+OS)'!G150/1000</f>
        <v/>
      </c>
      <c r="Q110" s="2842" t="n"/>
      <c r="R110" s="2789" t="n"/>
      <c r="S110" s="2842" t="n"/>
      <c r="T110" s="2842">
        <f>' SET Cost(staf+OS)'!H150/1000</f>
        <v/>
      </c>
      <c r="U110" s="2842" t="n"/>
      <c r="V110" s="2799" t="n"/>
      <c r="W110" s="2842" t="n"/>
      <c r="X110" s="2842">
        <f>' SET Cost(staf+OS)'!I150/1000</f>
        <v/>
      </c>
      <c r="Y110" s="2842" t="n"/>
      <c r="Z110" s="2799" t="n"/>
      <c r="AA110" s="2842" t="n"/>
      <c r="AB110" s="2842">
        <f>' SET Cost(staf+OS)'!J150/1000</f>
        <v/>
      </c>
      <c r="AC110" s="2842" t="n"/>
      <c r="AD110" s="2799" t="n"/>
      <c r="AE110" s="2842" t="n"/>
      <c r="AF110" s="2842">
        <f>' SET Cost(staf+OS)'!K150/1000</f>
        <v/>
      </c>
      <c r="AG110" s="2842" t="n"/>
      <c r="AH110" s="2799" t="n"/>
      <c r="AI110" s="2842" t="n"/>
      <c r="AJ110" s="2842">
        <f>' SET Cost(staf+OS)'!L150/1000</f>
        <v/>
      </c>
      <c r="AK110" s="2842" t="n"/>
      <c r="AL110" s="2789" t="n"/>
      <c r="AM110" s="2842" t="n"/>
      <c r="AN110" s="2842">
        <f>' SET Cost(staf+OS)'!M150/1000</f>
        <v/>
      </c>
      <c r="AO110" s="2842" t="n"/>
      <c r="AP110" s="2789" t="n"/>
      <c r="AQ110" s="2842" t="n"/>
      <c r="AR110" s="2842">
        <f>' SET Cost(staf+OS)'!N150/1000</f>
        <v/>
      </c>
      <c r="AS110" s="2842" t="n"/>
      <c r="AT110" s="2789" t="n"/>
      <c r="AU110" s="2842" t="n"/>
      <c r="AV110" s="2842">
        <f>' SET Cost(staf+OS)'!O150/1000</f>
        <v/>
      </c>
      <c r="AW110" s="2842" t="n"/>
      <c r="AX110" s="2789" t="n"/>
      <c r="AY110" s="2841" t="n"/>
      <c r="AZ110" s="2841">
        <f>SUM(C110:AW110)</f>
        <v/>
      </c>
      <c r="BA110" s="2841" t="n"/>
    </row>
    <row customFormat="1" outlineLevel="1" r="111" s="2808" spans="1:55">
      <c r="A111" s="2845" t="s">
        <v>368</v>
      </c>
      <c r="B111" s="2789" t="n"/>
      <c r="C111" s="2842" t="n"/>
      <c r="D111" s="2842">
        <f>' SET Cost(staf+OS)'!D151/1000</f>
        <v/>
      </c>
      <c r="E111" s="2842" t="n"/>
      <c r="F111" s="2789" t="n"/>
      <c r="G111" s="2842" t="n"/>
      <c r="H111" s="2842">
        <f>' SET Cost(staf+OS)'!E151/1000</f>
        <v/>
      </c>
      <c r="I111" s="2842" t="n"/>
      <c r="J111" s="2789" t="n"/>
      <c r="K111" s="2842" t="n"/>
      <c r="L111" s="2842">
        <f>' SET Cost(staf+OS)'!F151/1000</f>
        <v/>
      </c>
      <c r="M111" s="2842" t="n"/>
      <c r="N111" s="2799" t="n"/>
      <c r="O111" s="2842" t="n"/>
      <c r="P111" s="2842">
        <f>' SET Cost(staf+OS)'!G151/1000</f>
        <v/>
      </c>
      <c r="Q111" s="2842" t="n"/>
      <c r="R111" s="2789" t="n"/>
      <c r="S111" s="2842" t="n"/>
      <c r="T111" s="2842">
        <f>' SET Cost(staf+OS)'!H151/1000</f>
        <v/>
      </c>
      <c r="U111" s="2842" t="n"/>
      <c r="V111" s="2799" t="n"/>
      <c r="W111" s="2842" t="n"/>
      <c r="X111" s="2842">
        <f>' SET Cost(staf+OS)'!I151/1000</f>
        <v/>
      </c>
      <c r="Y111" s="2842" t="n"/>
      <c r="Z111" s="2799" t="n"/>
      <c r="AA111" s="2842" t="n"/>
      <c r="AB111" s="2842">
        <f>' SET Cost(staf+OS)'!J151/1000</f>
        <v/>
      </c>
      <c r="AC111" s="2842" t="n"/>
      <c r="AD111" s="2799" t="n"/>
      <c r="AE111" s="2842" t="n"/>
      <c r="AF111" s="2842">
        <f>' SET Cost(staf+OS)'!K151/1000</f>
        <v/>
      </c>
      <c r="AG111" s="2842" t="n"/>
      <c r="AH111" s="2799" t="n"/>
      <c r="AI111" s="2842" t="n"/>
      <c r="AJ111" s="2842">
        <f>' SET Cost(staf+OS)'!L151/1000</f>
        <v/>
      </c>
      <c r="AK111" s="2842" t="n"/>
      <c r="AL111" s="2789" t="n"/>
      <c r="AM111" s="2842" t="n"/>
      <c r="AN111" s="2842">
        <f>' SET Cost(staf+OS)'!M151/1000</f>
        <v/>
      </c>
      <c r="AO111" s="2842" t="n"/>
      <c r="AP111" s="2789" t="n"/>
      <c r="AQ111" s="2842" t="n"/>
      <c r="AR111" s="2842">
        <f>' SET Cost(staf+OS)'!N151/1000</f>
        <v/>
      </c>
      <c r="AS111" s="2842" t="n"/>
      <c r="AT111" s="2789" t="n"/>
      <c r="AU111" s="2842" t="n"/>
      <c r="AV111" s="2842">
        <f>' SET Cost(staf+OS)'!O151/1000</f>
        <v/>
      </c>
      <c r="AW111" s="2842" t="n"/>
      <c r="AX111" s="2789" t="n"/>
      <c r="AY111" s="2841" t="n"/>
      <c r="AZ111" s="2841">
        <f>SUM(C111:AW111)</f>
        <v/>
      </c>
      <c r="BA111" s="2841" t="n"/>
    </row>
    <row customFormat="1" outlineLevel="1" r="112" s="2808" spans="1:55">
      <c r="A112" s="2845" t="s">
        <v>369</v>
      </c>
      <c r="B112" s="2789" t="n"/>
      <c r="C112" s="2842" t="n"/>
      <c r="D112" s="2842">
        <f>' SET Cost(staf+OS)'!D152/1000</f>
        <v/>
      </c>
      <c r="E112" s="2842" t="n"/>
      <c r="F112" s="2789" t="n"/>
      <c r="G112" s="2842" t="n"/>
      <c r="H112" s="2842">
        <f>' SET Cost(staf+OS)'!E152/1000</f>
        <v/>
      </c>
      <c r="I112" s="2842" t="n"/>
      <c r="J112" s="2789" t="n"/>
      <c r="K112" s="2842" t="n"/>
      <c r="L112" s="2842">
        <f>' SET Cost(staf+OS)'!F152/1000</f>
        <v/>
      </c>
      <c r="M112" s="2842" t="n"/>
      <c r="N112" s="2799" t="n"/>
      <c r="O112" s="2842" t="n"/>
      <c r="P112" s="2842">
        <f>' SET Cost(staf+OS)'!G152/1000</f>
        <v/>
      </c>
      <c r="Q112" s="2842" t="n"/>
      <c r="R112" s="2789" t="n"/>
      <c r="S112" s="2842" t="n"/>
      <c r="T112" s="2842">
        <f>' SET Cost(staf+OS)'!H152/1000</f>
        <v/>
      </c>
      <c r="U112" s="2842" t="n"/>
      <c r="V112" s="2799" t="n"/>
      <c r="W112" s="2842" t="n"/>
      <c r="X112" s="2842">
        <f>' SET Cost(staf+OS)'!I152/1000</f>
        <v/>
      </c>
      <c r="Y112" s="2842" t="n"/>
      <c r="Z112" s="2799" t="n"/>
      <c r="AA112" s="2842" t="n"/>
      <c r="AB112" s="2842">
        <f>' SET Cost(staf+OS)'!J152/1000</f>
        <v/>
      </c>
      <c r="AC112" s="2842" t="n"/>
      <c r="AD112" s="2799" t="n"/>
      <c r="AE112" s="2842" t="n"/>
      <c r="AF112" s="2842">
        <f>' SET Cost(staf+OS)'!K152/1000</f>
        <v/>
      </c>
      <c r="AG112" s="2842" t="n"/>
      <c r="AH112" s="2799" t="n"/>
      <c r="AI112" s="2842" t="n"/>
      <c r="AJ112" s="2842">
        <f>' SET Cost(staf+OS)'!L152/1000</f>
        <v/>
      </c>
      <c r="AK112" s="2842" t="n"/>
      <c r="AL112" s="2789" t="n"/>
      <c r="AM112" s="2842" t="n"/>
      <c r="AN112" s="2842">
        <f>' SET Cost(staf+OS)'!M152/1000</f>
        <v/>
      </c>
      <c r="AO112" s="2842" t="n"/>
      <c r="AP112" s="2789" t="n"/>
      <c r="AQ112" s="2842" t="n"/>
      <c r="AR112" s="2842">
        <f>' SET Cost(staf+OS)'!N152/1000</f>
        <v/>
      </c>
      <c r="AS112" s="2842" t="n"/>
      <c r="AT112" s="2789" t="n"/>
      <c r="AU112" s="2842" t="n"/>
      <c r="AV112" s="2842">
        <f>' SET Cost(staf+OS)'!O152/1000</f>
        <v/>
      </c>
      <c r="AW112" s="2842" t="n"/>
      <c r="AX112" s="2789" t="n"/>
      <c r="AY112" s="2841" t="n"/>
      <c r="AZ112" s="2841">
        <f>SUM(C112:AW112)</f>
        <v/>
      </c>
      <c r="BA112" s="2841" t="n"/>
    </row>
    <row customFormat="1" outlineLevel="1" r="113" s="2808" spans="1:55">
      <c r="A113" s="2845" t="s">
        <v>370</v>
      </c>
      <c r="B113" s="2789" t="n"/>
      <c r="C113" s="2842" t="n"/>
      <c r="D113" s="2842">
        <f>' SET Cost(staf+OS)'!D153/1000</f>
        <v/>
      </c>
      <c r="E113" s="2842" t="n"/>
      <c r="F113" s="2789" t="n"/>
      <c r="G113" s="2842" t="n"/>
      <c r="H113" s="2842">
        <f>' SET Cost(staf+OS)'!E153/1000</f>
        <v/>
      </c>
      <c r="I113" s="2842" t="n"/>
      <c r="J113" s="2789" t="n"/>
      <c r="K113" s="2842" t="n"/>
      <c r="L113" s="2842">
        <f>' SET Cost(staf+OS)'!F153/1000</f>
        <v/>
      </c>
      <c r="M113" s="2842" t="n"/>
      <c r="N113" s="2799" t="n"/>
      <c r="O113" s="2842" t="n"/>
      <c r="P113" s="2842">
        <f>' SET Cost(staf+OS)'!G153/1000</f>
        <v/>
      </c>
      <c r="Q113" s="2842" t="n"/>
      <c r="R113" s="2789" t="n"/>
      <c r="S113" s="2842" t="n"/>
      <c r="T113" s="2842">
        <f>' SET Cost(staf+OS)'!H153/1000</f>
        <v/>
      </c>
      <c r="U113" s="2842" t="n"/>
      <c r="V113" s="2799" t="n"/>
      <c r="W113" s="2842" t="n"/>
      <c r="X113" s="2842">
        <f>' SET Cost(staf+OS)'!I153/1000</f>
        <v/>
      </c>
      <c r="Y113" s="2842" t="n"/>
      <c r="Z113" s="2799" t="n"/>
      <c r="AA113" s="2842" t="n"/>
      <c r="AB113" s="2842">
        <f>' SET Cost(staf+OS)'!J153/1000</f>
        <v/>
      </c>
      <c r="AC113" s="2842" t="n"/>
      <c r="AD113" s="2799" t="n"/>
      <c r="AE113" s="2842" t="n"/>
      <c r="AF113" s="2842">
        <f>' SET Cost(staf+OS)'!K153/1000</f>
        <v/>
      </c>
      <c r="AG113" s="2842" t="n"/>
      <c r="AH113" s="2799" t="n"/>
      <c r="AI113" s="2842" t="n"/>
      <c r="AJ113" s="2842">
        <f>' SET Cost(staf+OS)'!L153/1000</f>
        <v/>
      </c>
      <c r="AK113" s="2842" t="n"/>
      <c r="AL113" s="2789" t="n"/>
      <c r="AM113" s="2842" t="n"/>
      <c r="AN113" s="2842">
        <f>' SET Cost(staf+OS)'!M153/1000</f>
        <v/>
      </c>
      <c r="AO113" s="2842" t="n"/>
      <c r="AP113" s="2789" t="n"/>
      <c r="AQ113" s="2842" t="n"/>
      <c r="AR113" s="2842">
        <f>' SET Cost(staf+OS)'!N153/1000</f>
        <v/>
      </c>
      <c r="AS113" s="2842" t="n"/>
      <c r="AT113" s="2789" t="n"/>
      <c r="AU113" s="2842" t="n"/>
      <c r="AV113" s="2842">
        <f>' SET Cost(staf+OS)'!O153/1000</f>
        <v/>
      </c>
      <c r="AW113" s="2842" t="n"/>
      <c r="AX113" s="2789" t="n"/>
      <c r="AY113" s="2841" t="n"/>
      <c r="AZ113" s="2841">
        <f>SUM(C113:AW113)</f>
        <v/>
      </c>
      <c r="BA113" s="2841" t="n"/>
    </row>
    <row customFormat="1" outlineLevel="1" r="114" s="2808" spans="1:55">
      <c r="A114" s="2845" t="s">
        <v>371</v>
      </c>
      <c r="B114" s="2789" t="n"/>
      <c r="C114" s="2842" t="n"/>
      <c r="D114" s="2842">
        <f>' SET Cost(staf+OS)'!D154/1000</f>
        <v/>
      </c>
      <c r="E114" s="2842" t="n"/>
      <c r="F114" s="2789" t="n"/>
      <c r="G114" s="2842" t="n"/>
      <c r="H114" s="2842">
        <f>' SET Cost(staf+OS)'!E154/1000</f>
        <v/>
      </c>
      <c r="I114" s="2842" t="n"/>
      <c r="J114" s="2789" t="n"/>
      <c r="K114" s="2842" t="n"/>
      <c r="L114" s="2842">
        <f>' SET Cost(staf+OS)'!F154/1000</f>
        <v/>
      </c>
      <c r="M114" s="2842" t="n"/>
      <c r="N114" s="2799" t="n"/>
      <c r="O114" s="2842" t="n"/>
      <c r="P114" s="2842">
        <f>' SET Cost(staf+OS)'!G154/1000</f>
        <v/>
      </c>
      <c r="Q114" s="2842" t="n"/>
      <c r="R114" s="2789" t="n"/>
      <c r="S114" s="2842" t="n"/>
      <c r="T114" s="2842">
        <f>' SET Cost(staf+OS)'!H154/1000</f>
        <v/>
      </c>
      <c r="U114" s="2842" t="n"/>
      <c r="V114" s="2799" t="n"/>
      <c r="W114" s="2842" t="n"/>
      <c r="X114" s="2842">
        <f>' SET Cost(staf+OS)'!I154/1000</f>
        <v/>
      </c>
      <c r="Y114" s="2842" t="n"/>
      <c r="Z114" s="2799" t="n"/>
      <c r="AA114" s="2842" t="n"/>
      <c r="AB114" s="2842">
        <f>' SET Cost(staf+OS)'!J154/1000</f>
        <v/>
      </c>
      <c r="AC114" s="2842" t="n"/>
      <c r="AD114" s="2799" t="n"/>
      <c r="AE114" s="2842" t="n"/>
      <c r="AF114" s="2842">
        <f>' SET Cost(staf+OS)'!K154/1000</f>
        <v/>
      </c>
      <c r="AG114" s="2842" t="n"/>
      <c r="AH114" s="2799" t="n"/>
      <c r="AI114" s="2842" t="n"/>
      <c r="AJ114" s="2842">
        <f>' SET Cost(staf+OS)'!L154/1000</f>
        <v/>
      </c>
      <c r="AK114" s="2842" t="n"/>
      <c r="AL114" s="2789" t="n"/>
      <c r="AM114" s="2842" t="n"/>
      <c r="AN114" s="2842">
        <f>' SET Cost(staf+OS)'!M154/1000</f>
        <v/>
      </c>
      <c r="AO114" s="2842" t="n"/>
      <c r="AP114" s="2789" t="n"/>
      <c r="AQ114" s="2842" t="n"/>
      <c r="AR114" s="2842">
        <f>' SET Cost(staf+OS)'!N154/1000</f>
        <v/>
      </c>
      <c r="AS114" s="2842" t="n"/>
      <c r="AT114" s="2789" t="n"/>
      <c r="AU114" s="2842" t="n"/>
      <c r="AV114" s="2842">
        <f>' SET Cost(staf+OS)'!O154/1000</f>
        <v/>
      </c>
      <c r="AW114" s="2842" t="n"/>
      <c r="AX114" s="2789" t="n"/>
      <c r="AY114" s="2841" t="n"/>
      <c r="AZ114" s="2841">
        <f>SUM(C114:AW114)</f>
        <v/>
      </c>
      <c r="BA114" s="2841" t="n"/>
    </row>
    <row customFormat="1" outlineLevel="1" r="115" s="2808" spans="1:55">
      <c r="A115" s="2845" t="s">
        <v>372</v>
      </c>
      <c r="B115" s="2789" t="n"/>
      <c r="C115" s="2842" t="n"/>
      <c r="D115" s="2842">
        <f>' SET Cost(staf+OS)'!D155/1000</f>
        <v/>
      </c>
      <c r="E115" s="2842" t="n"/>
      <c r="F115" s="2789" t="n"/>
      <c r="G115" s="2842" t="n"/>
      <c r="H115" s="2842">
        <f>' SET Cost(staf+OS)'!E155/1000</f>
        <v/>
      </c>
      <c r="I115" s="2842" t="n"/>
      <c r="J115" s="2789" t="n"/>
      <c r="K115" s="2842" t="n"/>
      <c r="L115" s="2842">
        <f>' SET Cost(staf+OS)'!F155/1000</f>
        <v/>
      </c>
      <c r="M115" s="2842" t="n"/>
      <c r="N115" s="2799" t="n"/>
      <c r="O115" s="2842" t="n"/>
      <c r="P115" s="2842">
        <f>' SET Cost(staf+OS)'!G155/1000</f>
        <v/>
      </c>
      <c r="Q115" s="2842" t="n"/>
      <c r="R115" s="2789" t="n"/>
      <c r="S115" s="2842" t="n"/>
      <c r="T115" s="2842">
        <f>' SET Cost(staf+OS)'!H155/1000</f>
        <v/>
      </c>
      <c r="U115" s="2842" t="n"/>
      <c r="V115" s="2799" t="n"/>
      <c r="W115" s="2842" t="n"/>
      <c r="X115" s="2842">
        <f>' SET Cost(staf+OS)'!I155/1000</f>
        <v/>
      </c>
      <c r="Y115" s="2842" t="n"/>
      <c r="Z115" s="2799" t="n"/>
      <c r="AA115" s="2842" t="n"/>
      <c r="AB115" s="2842">
        <f>' SET Cost(staf+OS)'!J155/1000</f>
        <v/>
      </c>
      <c r="AC115" s="2842" t="n"/>
      <c r="AD115" s="2799" t="n"/>
      <c r="AE115" s="2842" t="n"/>
      <c r="AF115" s="2842">
        <f>' SET Cost(staf+OS)'!K155/1000</f>
        <v/>
      </c>
      <c r="AG115" s="2842" t="n"/>
      <c r="AH115" s="2799" t="n"/>
      <c r="AI115" s="2842" t="n"/>
      <c r="AJ115" s="2842">
        <f>' SET Cost(staf+OS)'!L155/1000</f>
        <v/>
      </c>
      <c r="AK115" s="2842" t="n"/>
      <c r="AL115" s="2789" t="n"/>
      <c r="AM115" s="2842" t="n"/>
      <c r="AN115" s="2842">
        <f>' SET Cost(staf+OS)'!M155/1000</f>
        <v/>
      </c>
      <c r="AO115" s="2842" t="n"/>
      <c r="AP115" s="2789" t="n"/>
      <c r="AQ115" s="2842" t="n"/>
      <c r="AR115" s="2842">
        <f>' SET Cost(staf+OS)'!N155/1000</f>
        <v/>
      </c>
      <c r="AS115" s="2842" t="n"/>
      <c r="AT115" s="2789" t="n"/>
      <c r="AU115" s="2842" t="n"/>
      <c r="AV115" s="2842">
        <f>' SET Cost(staf+OS)'!O155/1000</f>
        <v/>
      </c>
      <c r="AW115" s="2842" t="n"/>
      <c r="AX115" s="2789" t="n"/>
      <c r="AY115" s="2841" t="n"/>
      <c r="AZ115" s="2841">
        <f>SUM(C115:AW115)</f>
        <v/>
      </c>
      <c r="BA115" s="2841" t="n"/>
    </row>
    <row customFormat="1" outlineLevel="1" r="116" s="2808" spans="1:55">
      <c r="A116" s="2845" t="s">
        <v>89</v>
      </c>
      <c r="B116" s="2789" t="n"/>
      <c r="C116" s="2842">
        <f>'FY18 SET'!G11/1000</f>
        <v/>
      </c>
      <c r="D116" s="2842" t="n"/>
      <c r="E116" s="2842" t="n"/>
      <c r="F116" s="2789" t="n"/>
      <c r="G116" s="2842">
        <f>'FY18 SET'!H11/1000</f>
        <v/>
      </c>
      <c r="H116" s="2842" t="n"/>
      <c r="I116" s="2842" t="n"/>
      <c r="J116" s="2789" t="n"/>
      <c r="K116" s="2842">
        <f>'FY18 SET'!I11/1000</f>
        <v/>
      </c>
      <c r="L116" s="2842" t="n"/>
      <c r="M116" s="2842" t="n"/>
      <c r="N116" s="2799" t="n"/>
      <c r="O116" s="2842">
        <f>'FY18 SET'!J11/1000</f>
        <v/>
      </c>
      <c r="P116" s="2842" t="n"/>
      <c r="Q116" s="2842" t="n"/>
      <c r="R116" s="2789" t="n"/>
      <c r="S116" s="2842">
        <f>'FY18 SET'!K11/1000</f>
        <v/>
      </c>
      <c r="T116" s="2842" t="n"/>
      <c r="U116" s="2842" t="n"/>
      <c r="V116" s="2799" t="n"/>
      <c r="W116" s="2842">
        <f>'FY18 SET'!L11/1000</f>
        <v/>
      </c>
      <c r="X116" s="2842" t="n"/>
      <c r="Y116" s="2842" t="n"/>
      <c r="Z116" s="2799" t="n"/>
      <c r="AA116" s="2842">
        <f>'FY18 SET'!N11/1000</f>
        <v/>
      </c>
      <c r="AB116" s="2842" t="n"/>
      <c r="AC116" s="2842" t="n"/>
      <c r="AD116" s="2799" t="n"/>
      <c r="AE116" s="2842">
        <f>'FY18 SET'!O11/1000</f>
        <v/>
      </c>
      <c r="AF116" s="2842" t="n"/>
      <c r="AG116" s="2842" t="n"/>
      <c r="AH116" s="2799" t="n"/>
      <c r="AI116" s="2842">
        <f>'FY18 SET'!P11/1000</f>
        <v/>
      </c>
      <c r="AJ116" s="2842" t="n"/>
      <c r="AK116" s="2842" t="n"/>
      <c r="AL116" s="2789" t="n"/>
      <c r="AM116" s="2842">
        <f>'FY18 SET'!Q11/1000</f>
        <v/>
      </c>
      <c r="AN116" s="2842" t="n"/>
      <c r="AO116" s="2842" t="n"/>
      <c r="AP116" s="2789" t="n"/>
      <c r="AQ116" s="2842">
        <f>'FY18 SET'!R11/1000</f>
        <v/>
      </c>
      <c r="AR116" s="2842" t="n"/>
      <c r="AS116" s="2842" t="n"/>
      <c r="AT116" s="2789" t="n"/>
      <c r="AU116" s="2842">
        <f>'FY18 SET'!S11/1000</f>
        <v/>
      </c>
      <c r="AV116" s="2842" t="n"/>
      <c r="AW116" s="2842" t="n"/>
      <c r="AX116" s="2789" t="n"/>
      <c r="AY116" s="2841">
        <f>SUM(B116:AV116)</f>
        <v/>
      </c>
      <c r="AZ116" s="2841" t="n"/>
      <c r="BA116" s="2841" t="n"/>
      <c r="BB116" s="2846" t="n"/>
    </row>
    <row customFormat="1" customHeight="1" ht="17.25" outlineLevel="1" r="117" s="2808" spans="1:55">
      <c r="A117" s="2845" t="s">
        <v>153</v>
      </c>
      <c r="B117" s="2789" t="n"/>
      <c r="C117" s="2841" t="n"/>
      <c r="D117" s="2841" t="n"/>
      <c r="E117" s="2841">
        <f>SUM(C99:C117)-SUM(D99:D117)</f>
        <v/>
      </c>
      <c r="F117" s="2789" t="n"/>
      <c r="G117" s="2841" t="n"/>
      <c r="H117" s="2841" t="n"/>
      <c r="I117" s="2841">
        <f>SUM(G99:G117)-SUM(H99:H117)</f>
        <v/>
      </c>
      <c r="J117" s="2789" t="n"/>
      <c r="K117" s="2841" t="n"/>
      <c r="L117" s="2841" t="n"/>
      <c r="M117" s="2841">
        <f>SUM(K99:K117)-SUM(L99:L117)</f>
        <v/>
      </c>
      <c r="N117" s="2839" t="n"/>
      <c r="O117" s="2841" t="n"/>
      <c r="P117" s="2841" t="n"/>
      <c r="Q117" s="2841">
        <f>SUM(O99:O117)-SUM(P99:P117)</f>
        <v/>
      </c>
      <c r="R117" s="2789" t="n"/>
      <c r="S117" s="2841" t="n"/>
      <c r="T117" s="2841" t="n"/>
      <c r="U117" s="2841">
        <f>SUM(S99:S117)-SUM(T99:T117)</f>
        <v/>
      </c>
      <c r="V117" s="2839" t="n"/>
      <c r="W117" s="2841" t="n"/>
      <c r="X117" s="2841" t="n"/>
      <c r="Y117" s="2841">
        <f>SUM(W99:W117)-SUM(X99:X117)</f>
        <v/>
      </c>
      <c r="Z117" s="2839" t="n"/>
      <c r="AA117" s="2841" t="n"/>
      <c r="AB117" s="2841" t="n"/>
      <c r="AC117" s="2841">
        <f>SUM(AA99:AA117)-SUM(AB99:AB117)</f>
        <v/>
      </c>
      <c r="AD117" s="2839" t="n"/>
      <c r="AE117" s="2841" t="n"/>
      <c r="AF117" s="2841" t="n"/>
      <c r="AG117" s="2841">
        <f>SUM(AE99:AE117)-SUM(AF99:AF117)</f>
        <v/>
      </c>
      <c r="AH117" s="2839" t="n"/>
      <c r="AI117" s="2841" t="n"/>
      <c r="AJ117" s="2841" t="n"/>
      <c r="AK117" s="2841">
        <f>SUM(AI99:AI117)-SUM(AJ99:AJ117)</f>
        <v/>
      </c>
      <c r="AL117" s="2789" t="n"/>
      <c r="AM117" s="2841" t="n"/>
      <c r="AN117" s="2841" t="n"/>
      <c r="AO117" s="2841">
        <f>SUM(AM99:AM117)-SUM(AN99:AN117)</f>
        <v/>
      </c>
      <c r="AP117" s="2789" t="n"/>
      <c r="AQ117" s="2841" t="n"/>
      <c r="AR117" s="2841" t="n"/>
      <c r="AS117" s="2841">
        <f>SUM(AQ99:AQ117)-SUM(AR99:AR117)</f>
        <v/>
      </c>
      <c r="AT117" s="2789" t="n"/>
      <c r="AU117" s="2841" t="n"/>
      <c r="AV117" s="2841" t="n"/>
      <c r="AW117" s="2841">
        <f>SUM(AU99:AU117)-SUM(AV99:AV117)</f>
        <v/>
      </c>
      <c r="AX117" s="2789" t="n"/>
      <c r="AY117" s="2841" t="n"/>
      <c r="AZ117" s="2841" t="n"/>
      <c r="BA117" s="2841">
        <f>SUM(D117:AY117)</f>
        <v/>
      </c>
    </row>
    <row customFormat="1" outlineLevel="1" r="118" s="2808" spans="1:55">
      <c r="A118" s="2847" t="s">
        <v>173</v>
      </c>
      <c r="B118" s="2806" t="n"/>
      <c r="C118" s="2848">
        <f>SUM(C99:C117)</f>
        <v/>
      </c>
      <c r="D118" s="2848">
        <f>SUM(D99:D117)</f>
        <v/>
      </c>
      <c r="E118" s="2848">
        <f>SUM(E117:E117)</f>
        <v/>
      </c>
      <c r="F118" s="2806" t="n"/>
      <c r="G118" s="2848">
        <f>SUM(G99:G117)</f>
        <v/>
      </c>
      <c r="H118" s="2848">
        <f>SUM(H99:H117)</f>
        <v/>
      </c>
      <c r="I118" s="2848">
        <f>SUM(I117:I117)</f>
        <v/>
      </c>
      <c r="J118" s="2806" t="n"/>
      <c r="K118" s="2848">
        <f>SUM(K99:K117)</f>
        <v/>
      </c>
      <c r="L118" s="2848">
        <f>SUM(L99:L117)</f>
        <v/>
      </c>
      <c r="M118" s="2848">
        <f>SUM(M117:M117)</f>
        <v/>
      </c>
      <c r="N118" s="2802" t="n"/>
      <c r="O118" s="2848">
        <f>SUM(O99:O117)</f>
        <v/>
      </c>
      <c r="P118" s="2848">
        <f>SUM(P99:P117)</f>
        <v/>
      </c>
      <c r="Q118" s="2848">
        <f>SUM(Q117:Q117)</f>
        <v/>
      </c>
      <c r="R118" s="2806" t="n"/>
      <c r="S118" s="2848">
        <f>SUM(S99:S117)</f>
        <v/>
      </c>
      <c r="T118" s="2848">
        <f>SUM(T99:T117)</f>
        <v/>
      </c>
      <c r="U118" s="2848">
        <f>SUM(U117:U117)</f>
        <v/>
      </c>
      <c r="V118" s="2802" t="n"/>
      <c r="W118" s="2848">
        <f>SUM(W99:W117)</f>
        <v/>
      </c>
      <c r="X118" s="2848">
        <f>SUM(X99:X117)</f>
        <v/>
      </c>
      <c r="Y118" s="2848">
        <f>SUM(Y117:Y117)</f>
        <v/>
      </c>
      <c r="Z118" s="2802" t="n"/>
      <c r="AA118" s="2848">
        <f>SUM(AA99:AA117)</f>
        <v/>
      </c>
      <c r="AB118" s="2848">
        <f>SUM(AB99:AB117)</f>
        <v/>
      </c>
      <c r="AC118" s="2848">
        <f>SUM(AC117:AC117)</f>
        <v/>
      </c>
      <c r="AD118" s="2802" t="n"/>
      <c r="AE118" s="2848">
        <f>SUM(AE99:AE117)</f>
        <v/>
      </c>
      <c r="AF118" s="2848">
        <f>SUM(AF99:AF117)</f>
        <v/>
      </c>
      <c r="AG118" s="2848">
        <f>SUM(AG117:AG117)</f>
        <v/>
      </c>
      <c r="AH118" s="2802" t="n"/>
      <c r="AI118" s="2848">
        <f>SUM(AI99:AI117)</f>
        <v/>
      </c>
      <c r="AJ118" s="2848">
        <f>SUM(AJ99:AJ117)</f>
        <v/>
      </c>
      <c r="AK118" s="2848">
        <f>SUM(AK117:AK117)</f>
        <v/>
      </c>
      <c r="AL118" s="2806" t="n"/>
      <c r="AM118" s="2848">
        <f>SUM(AM99:AM117)</f>
        <v/>
      </c>
      <c r="AN118" s="2848">
        <f>SUM(AN99:AN117)</f>
        <v/>
      </c>
      <c r="AO118" s="2848">
        <f>SUM(AO117:AO117)</f>
        <v/>
      </c>
      <c r="AP118" s="2806" t="n"/>
      <c r="AQ118" s="2848">
        <f>SUM(AQ99:AQ117)</f>
        <v/>
      </c>
      <c r="AR118" s="2848">
        <f>SUM(AR99:AR117)</f>
        <v/>
      </c>
      <c r="AS118" s="2848">
        <f>SUM(AS117:AS117)</f>
        <v/>
      </c>
      <c r="AT118" s="2806" t="n"/>
      <c r="AU118" s="2848">
        <f>SUM(AU99:AU117)</f>
        <v/>
      </c>
      <c r="AV118" s="2848">
        <f>SUM(AV99:AV117)</f>
        <v/>
      </c>
      <c r="AW118" s="2848">
        <f>SUM(AW117:AW117)</f>
        <v/>
      </c>
      <c r="AX118" s="2806" t="n"/>
      <c r="AY118" s="2847">
        <f>SUM(AY99:AY117)</f>
        <v/>
      </c>
      <c r="AZ118" s="2847">
        <f>SUM(AZ99:AZ115)</f>
        <v/>
      </c>
      <c r="BA118" s="2847">
        <f>SUM(BA117:BA117)</f>
        <v/>
      </c>
    </row>
    <row customFormat="1" outlineLevel="1" r="119" s="2808" spans="1:55">
      <c r="A119" s="2847" t="s">
        <v>379</v>
      </c>
      <c r="B119" s="2806" t="n"/>
      <c r="C119" s="2848" t="n"/>
      <c r="D119" s="2848" t="n"/>
      <c r="E119" s="2849">
        <f>E118/C118</f>
        <v/>
      </c>
      <c r="F119" s="2806" t="n"/>
      <c r="G119" s="2848" t="n"/>
      <c r="H119" s="2848" t="n"/>
      <c r="I119" s="2849">
        <f>I118/G118</f>
        <v/>
      </c>
      <c r="J119" s="2806" t="n"/>
      <c r="K119" s="2848" t="n"/>
      <c r="L119" s="2848" t="n"/>
      <c r="M119" s="2849">
        <f>M118/K118</f>
        <v/>
      </c>
      <c r="N119" s="2808" t="n"/>
      <c r="O119" s="2848" t="n"/>
      <c r="P119" s="2848" t="n"/>
      <c r="Q119" s="2849">
        <f>Q118/O118</f>
        <v/>
      </c>
      <c r="R119" s="2806" t="n"/>
      <c r="S119" s="2848" t="n"/>
      <c r="T119" s="2848" t="n"/>
      <c r="U119" s="2849">
        <f>U118/S118</f>
        <v/>
      </c>
      <c r="V119" s="2808" t="n"/>
      <c r="W119" s="2848" t="n"/>
      <c r="X119" s="2848" t="n"/>
      <c r="Y119" s="2849">
        <f>Y118/W118</f>
        <v/>
      </c>
      <c r="Z119" s="2808" t="n"/>
      <c r="AA119" s="2848" t="n"/>
      <c r="AB119" s="2848" t="n"/>
      <c r="AC119" s="2849">
        <f>AC118/AA118</f>
        <v/>
      </c>
      <c r="AD119" s="2808" t="n"/>
      <c r="AE119" s="2848" t="n"/>
      <c r="AF119" s="2848" t="n"/>
      <c r="AG119" s="2849">
        <f>AG118/AE118</f>
        <v/>
      </c>
      <c r="AH119" s="2808" t="n"/>
      <c r="AI119" s="2848" t="n"/>
      <c r="AJ119" s="2848" t="n"/>
      <c r="AK119" s="2849">
        <f>AK118/AI118</f>
        <v/>
      </c>
      <c r="AL119" s="2806" t="n"/>
      <c r="AM119" s="2848" t="n"/>
      <c r="AN119" s="2848" t="n"/>
      <c r="AO119" s="2849">
        <f>AO118/AM118</f>
        <v/>
      </c>
      <c r="AP119" s="2806" t="n"/>
      <c r="AQ119" s="2848" t="n"/>
      <c r="AR119" s="2848" t="n"/>
      <c r="AS119" s="2849">
        <f>AS118/AQ118</f>
        <v/>
      </c>
      <c r="AT119" s="2806" t="n"/>
      <c r="AU119" s="2848" t="n"/>
      <c r="AV119" s="2848" t="n"/>
      <c r="AW119" s="2849">
        <f>AW118/AU118</f>
        <v/>
      </c>
      <c r="AX119" s="2806" t="n"/>
      <c r="AY119" s="2847" t="n"/>
      <c r="AZ119" s="2847" t="n"/>
      <c r="BA119" s="2849">
        <f>BA118/AY118</f>
        <v/>
      </c>
    </row>
    <row customFormat="1" r="120" s="2808" spans="1:55">
      <c r="A120" s="2851" t="n"/>
      <c r="B120" s="2806" t="n"/>
      <c r="C120" s="2835" t="n"/>
      <c r="E120" s="2836" t="n"/>
      <c r="F120" s="2806" t="n"/>
      <c r="I120" s="2836" t="n"/>
      <c r="J120" s="2806" t="n"/>
      <c r="M120" s="2836" t="n"/>
      <c r="Q120" s="2836" t="n"/>
      <c r="R120" s="2806" t="n"/>
      <c r="U120" s="2836" t="n"/>
      <c r="Y120" s="2836" t="n"/>
      <c r="AC120" s="2836" t="n"/>
      <c r="AG120" s="2836" t="n"/>
      <c r="AK120" s="2836" t="n"/>
      <c r="AL120" s="2806" t="n"/>
      <c r="AO120" s="2836" t="n"/>
      <c r="AP120" s="2806" t="n"/>
      <c r="AS120" s="2836" t="n"/>
      <c r="AT120" s="2806" t="n"/>
      <c r="AW120" s="2836" t="n"/>
      <c r="AX120" s="2806" t="n"/>
      <c r="AY120" s="2806" t="n"/>
      <c r="AZ120" s="2806" t="n"/>
      <c r="BA120" s="2836" t="n"/>
    </row>
    <row customFormat="1" r="121" s="2216" spans="1:55">
      <c r="A121" s="2815" t="n">
        <v>12272</v>
      </c>
      <c r="B121" s="2816" t="n"/>
      <c r="C121" s="2817" t="s">
        <v>62</v>
      </c>
      <c r="F121" s="2816" t="n"/>
      <c r="G121" s="2817" t="s">
        <v>63</v>
      </c>
      <c r="J121" s="2816" t="n"/>
      <c r="K121" s="2817" t="s">
        <v>64</v>
      </c>
      <c r="N121" s="2818" t="n"/>
      <c r="O121" s="2817" t="s">
        <v>174</v>
      </c>
      <c r="R121" s="2816" t="n"/>
      <c r="S121" s="2817" t="s">
        <v>66</v>
      </c>
      <c r="V121" s="2818" t="n"/>
      <c r="W121" s="2817" t="s">
        <v>67</v>
      </c>
      <c r="Z121" s="2818" t="n"/>
      <c r="AA121" s="2817" t="s">
        <v>69</v>
      </c>
      <c r="AD121" s="2818" t="n"/>
      <c r="AE121" s="2817" t="s">
        <v>70</v>
      </c>
      <c r="AH121" s="2818" t="n"/>
      <c r="AI121" s="2817" t="s">
        <v>71</v>
      </c>
      <c r="AL121" s="2816" t="n"/>
      <c r="AM121" s="2817" t="s">
        <v>72</v>
      </c>
      <c r="AP121" s="2816" t="n"/>
      <c r="AQ121" s="2817" t="s">
        <v>73</v>
      </c>
      <c r="AT121" s="2816" t="n"/>
      <c r="AU121" s="2817" t="s">
        <v>74</v>
      </c>
      <c r="AX121" s="2816" t="n"/>
      <c r="AY121" s="2817" t="s">
        <v>173</v>
      </c>
    </row>
    <row customFormat="1" r="122" s="2216" spans="1:55">
      <c r="A122" s="2819" t="n"/>
      <c r="B122" s="2820" t="n"/>
      <c r="C122" s="2819" t="s">
        <v>89</v>
      </c>
      <c r="D122" s="2819" t="s">
        <v>152</v>
      </c>
      <c r="E122" s="2819" t="s">
        <v>153</v>
      </c>
      <c r="F122" s="2820" t="n"/>
      <c r="G122" s="2819" t="s">
        <v>89</v>
      </c>
      <c r="H122" s="2819" t="s">
        <v>152</v>
      </c>
      <c r="I122" s="2819" t="s">
        <v>153</v>
      </c>
      <c r="J122" s="2820" t="n"/>
      <c r="K122" s="2819" t="s">
        <v>89</v>
      </c>
      <c r="L122" s="2819" t="s">
        <v>152</v>
      </c>
      <c r="M122" s="2819" t="s">
        <v>153</v>
      </c>
      <c r="N122" s="2818" t="n"/>
      <c r="O122" s="2819" t="s">
        <v>89</v>
      </c>
      <c r="P122" s="2819" t="s">
        <v>152</v>
      </c>
      <c r="Q122" s="2819" t="s">
        <v>153</v>
      </c>
      <c r="R122" s="2820" t="n"/>
      <c r="S122" s="2819" t="s">
        <v>89</v>
      </c>
      <c r="T122" s="2819" t="s">
        <v>152</v>
      </c>
      <c r="U122" s="2819" t="s">
        <v>153</v>
      </c>
      <c r="V122" s="2818" t="n"/>
      <c r="W122" s="2819" t="s">
        <v>89</v>
      </c>
      <c r="X122" s="2819" t="s">
        <v>152</v>
      </c>
      <c r="Y122" s="2819" t="s">
        <v>153</v>
      </c>
      <c r="Z122" s="2818" t="n"/>
      <c r="AA122" s="2819" t="s">
        <v>89</v>
      </c>
      <c r="AB122" s="2819" t="s">
        <v>152</v>
      </c>
      <c r="AC122" s="2819" t="s">
        <v>153</v>
      </c>
      <c r="AD122" s="2818" t="n"/>
      <c r="AE122" s="2819" t="s">
        <v>89</v>
      </c>
      <c r="AF122" s="2819" t="s">
        <v>152</v>
      </c>
      <c r="AG122" s="2819" t="s">
        <v>153</v>
      </c>
      <c r="AH122" s="2818" t="n"/>
      <c r="AI122" s="2819" t="s">
        <v>89</v>
      </c>
      <c r="AJ122" s="2819" t="s">
        <v>152</v>
      </c>
      <c r="AK122" s="2819" t="s">
        <v>153</v>
      </c>
      <c r="AL122" s="2820" t="n"/>
      <c r="AM122" s="2819" t="s">
        <v>89</v>
      </c>
      <c r="AN122" s="2819" t="s">
        <v>152</v>
      </c>
      <c r="AO122" s="2819" t="s">
        <v>153</v>
      </c>
      <c r="AP122" s="2820" t="n"/>
      <c r="AQ122" s="2819" t="s">
        <v>89</v>
      </c>
      <c r="AR122" s="2819" t="s">
        <v>152</v>
      </c>
      <c r="AS122" s="2819" t="s">
        <v>153</v>
      </c>
      <c r="AT122" s="2820" t="n"/>
      <c r="AU122" s="2819" t="s">
        <v>89</v>
      </c>
      <c r="AV122" s="2819" t="s">
        <v>152</v>
      </c>
      <c r="AW122" s="2819" t="s">
        <v>153</v>
      </c>
      <c r="AX122" s="2820" t="n"/>
      <c r="AY122" s="2819" t="s">
        <v>89</v>
      </c>
      <c r="AZ122" s="2819" t="s">
        <v>152</v>
      </c>
      <c r="BA122" s="2819" t="s">
        <v>153</v>
      </c>
    </row>
    <row customFormat="1" r="123" s="2216" spans="1:55">
      <c r="A123" s="2821" t="s">
        <v>187</v>
      </c>
      <c r="B123" s="2822" t="n"/>
      <c r="C123" s="2821" t="n"/>
      <c r="D123" s="2821">
        <f>D148+D172+D196</f>
        <v/>
      </c>
      <c r="E123" s="2821" t="n"/>
      <c r="F123" s="2822" t="n"/>
      <c r="G123" s="2821" t="n"/>
      <c r="H123" s="2821">
        <f>H148+H172+H196</f>
        <v/>
      </c>
      <c r="I123" s="2821" t="n"/>
      <c r="J123" s="2822" t="n"/>
      <c r="K123" s="2821" t="n"/>
      <c r="L123" s="2821">
        <f>L148+L172+L196</f>
        <v/>
      </c>
      <c r="M123" s="2821" t="n"/>
      <c r="N123" s="2818" t="n"/>
      <c r="O123" s="2821" t="n"/>
      <c r="P123" s="2821">
        <f>P148+P172+P196</f>
        <v/>
      </c>
      <c r="Q123" s="2821" t="n"/>
      <c r="R123" s="2822" t="n"/>
      <c r="S123" s="2821" t="n"/>
      <c r="T123" s="2821">
        <f>T148+T172+T196</f>
        <v/>
      </c>
      <c r="U123" s="2821" t="n"/>
      <c r="V123" s="2818" t="n"/>
      <c r="W123" s="2821" t="n"/>
      <c r="X123" s="2821">
        <f>X148+X172+X196</f>
        <v/>
      </c>
      <c r="Y123" s="2821" t="n"/>
      <c r="Z123" s="2818" t="n"/>
      <c r="AA123" s="2821" t="n"/>
      <c r="AB123" s="2821">
        <f>AB148+AB172+AB196</f>
        <v/>
      </c>
      <c r="AC123" s="2821" t="n"/>
      <c r="AD123" s="2818" t="n"/>
      <c r="AE123" s="2821" t="n"/>
      <c r="AF123" s="2821">
        <f>AF148+AF172+AF196</f>
        <v/>
      </c>
      <c r="AG123" s="2821" t="n"/>
      <c r="AH123" s="2818" t="n"/>
      <c r="AI123" s="2821" t="n"/>
      <c r="AJ123" s="2821">
        <f>AJ148+AJ172+AJ196</f>
        <v/>
      </c>
      <c r="AK123" s="2821" t="n"/>
      <c r="AL123" s="2822" t="n"/>
      <c r="AM123" s="2821" t="n"/>
      <c r="AN123" s="2821">
        <f>AN148+AN172+AN196</f>
        <v/>
      </c>
      <c r="AO123" s="2821" t="n"/>
      <c r="AP123" s="2822" t="n"/>
      <c r="AQ123" s="2821" t="n"/>
      <c r="AR123" s="2821">
        <f>AR148+AR172+AR196</f>
        <v/>
      </c>
      <c r="AS123" s="2821" t="n"/>
      <c r="AT123" s="2822" t="n"/>
      <c r="AU123" s="2821" t="n"/>
      <c r="AV123" s="2821">
        <f>AV148+AV172+AV196</f>
        <v/>
      </c>
      <c r="AW123" s="2821" t="n"/>
      <c r="AX123" s="2822" t="n"/>
      <c r="AY123" s="2821" t="n"/>
      <c r="AZ123" s="2821">
        <f>SUM(C123:AW123)</f>
        <v/>
      </c>
      <c r="BA123" s="2821" t="n"/>
      <c r="BB123" s="2852" t="n"/>
    </row>
    <row customFormat="1" r="124" s="2216" spans="1:55">
      <c r="A124" s="2821" t="s">
        <v>189</v>
      </c>
      <c r="B124" s="2822" t="n"/>
      <c r="C124" s="2823" t="n"/>
      <c r="D124" s="2821">
        <f>D149+D173+D197</f>
        <v/>
      </c>
      <c r="E124" s="2821" t="n"/>
      <c r="F124" s="2822" t="n"/>
      <c r="G124" s="2823" t="n"/>
      <c r="H124" s="2821">
        <f>H149+H173+H197</f>
        <v/>
      </c>
      <c r="I124" s="2821" t="n"/>
      <c r="J124" s="2822" t="n"/>
      <c r="K124" s="2823" t="n"/>
      <c r="L124" s="2821">
        <f>L149+L173+L197</f>
        <v/>
      </c>
      <c r="M124" s="2821" t="n"/>
      <c r="N124" s="2818" t="n"/>
      <c r="O124" s="2823" t="n"/>
      <c r="P124" s="2821">
        <f>P149+P173+P197</f>
        <v/>
      </c>
      <c r="Q124" s="2821" t="n"/>
      <c r="R124" s="2822" t="n"/>
      <c r="S124" s="2823" t="n"/>
      <c r="T124" s="2821">
        <f>T149+T173+T197</f>
        <v/>
      </c>
      <c r="U124" s="2821" t="n"/>
      <c r="V124" s="2818" t="n"/>
      <c r="W124" s="2823" t="n"/>
      <c r="X124" s="2821">
        <f>X149+X173+X197</f>
        <v/>
      </c>
      <c r="Y124" s="2821" t="n"/>
      <c r="Z124" s="2818" t="n"/>
      <c r="AA124" s="2823" t="n"/>
      <c r="AB124" s="2821">
        <f>AB149+AB173+AB197</f>
        <v/>
      </c>
      <c r="AC124" s="2821" t="n"/>
      <c r="AD124" s="2818" t="n"/>
      <c r="AE124" s="2823" t="n"/>
      <c r="AF124" s="2821">
        <f>AF149+AF173+AF197</f>
        <v/>
      </c>
      <c r="AG124" s="2821" t="n"/>
      <c r="AH124" s="2818" t="n"/>
      <c r="AI124" s="2823" t="n"/>
      <c r="AJ124" s="2821">
        <f>AJ149+AJ173+AJ197</f>
        <v/>
      </c>
      <c r="AK124" s="2821" t="n"/>
      <c r="AL124" s="2822" t="n"/>
      <c r="AM124" s="2823" t="n"/>
      <c r="AN124" s="2821">
        <f>AN149+AN173+AN197</f>
        <v/>
      </c>
      <c r="AO124" s="2821" t="n"/>
      <c r="AP124" s="2822" t="n"/>
      <c r="AQ124" s="2823" t="n"/>
      <c r="AR124" s="2821">
        <f>AR149+AR173+AR197</f>
        <v/>
      </c>
      <c r="AS124" s="2821" t="n"/>
      <c r="AT124" s="2822" t="n"/>
      <c r="AU124" s="2823" t="n"/>
      <c r="AV124" s="2821">
        <f>AV149+AV173+AV197</f>
        <v/>
      </c>
      <c r="AW124" s="2823" t="n"/>
      <c r="AX124" s="2822" t="n"/>
      <c r="AY124" s="2823" t="n"/>
      <c r="AZ124" s="2821">
        <f>SUM(C124:AW124)</f>
        <v/>
      </c>
      <c r="BA124" s="2823" t="n"/>
    </row>
    <row customFormat="1" r="125" s="2216" spans="1:55">
      <c r="A125" s="2821" t="s">
        <v>252</v>
      </c>
      <c r="B125" s="2822" t="n"/>
      <c r="C125" s="2823" t="n"/>
      <c r="D125" s="2821">
        <f>D150+D174+D198</f>
        <v/>
      </c>
      <c r="E125" s="2821" t="n"/>
      <c r="F125" s="2822" t="n"/>
      <c r="G125" s="2823" t="n"/>
      <c r="H125" s="2821">
        <f>H150+H174+H198</f>
        <v/>
      </c>
      <c r="I125" s="2821" t="n"/>
      <c r="J125" s="2822" t="n"/>
      <c r="K125" s="2823" t="n"/>
      <c r="L125" s="2821">
        <f>L150+L174+L198</f>
        <v/>
      </c>
      <c r="M125" s="2821" t="n"/>
      <c r="N125" s="2818" t="n"/>
      <c r="O125" s="2823" t="n"/>
      <c r="P125" s="2821">
        <f>P150+P174+P198</f>
        <v/>
      </c>
      <c r="Q125" s="2821" t="n"/>
      <c r="R125" s="2822" t="n"/>
      <c r="S125" s="2823" t="n"/>
      <c r="T125" s="2821">
        <f>T150+T174+T198</f>
        <v/>
      </c>
      <c r="U125" s="2821" t="n"/>
      <c r="V125" s="2818" t="n"/>
      <c r="W125" s="2823" t="n"/>
      <c r="X125" s="2821">
        <f>X150+X174+X198</f>
        <v/>
      </c>
      <c r="Y125" s="2821" t="n"/>
      <c r="Z125" s="2818" t="n"/>
      <c r="AA125" s="2823" t="n"/>
      <c r="AB125" s="2821">
        <f>AB150+AB174+AB198</f>
        <v/>
      </c>
      <c r="AC125" s="2821" t="n"/>
      <c r="AD125" s="2818" t="n"/>
      <c r="AE125" s="2823" t="n"/>
      <c r="AF125" s="2821">
        <f>AF150+AF174+AF198</f>
        <v/>
      </c>
      <c r="AG125" s="2821" t="n"/>
      <c r="AH125" s="2818" t="n"/>
      <c r="AI125" s="2823" t="n"/>
      <c r="AJ125" s="2821">
        <f>AJ150+AJ174+AJ198</f>
        <v/>
      </c>
      <c r="AK125" s="2821" t="n"/>
      <c r="AL125" s="2822" t="n"/>
      <c r="AM125" s="2823" t="n"/>
      <c r="AN125" s="2821">
        <f>AN150+AN174+AN198</f>
        <v/>
      </c>
      <c r="AO125" s="2821" t="n"/>
      <c r="AP125" s="2822" t="n"/>
      <c r="AQ125" s="2823" t="n"/>
      <c r="AR125" s="2821">
        <f>AR150+AR174+AR198</f>
        <v/>
      </c>
      <c r="AS125" s="2821" t="n"/>
      <c r="AT125" s="2822" t="n"/>
      <c r="AU125" s="2823" t="n"/>
      <c r="AV125" s="2821">
        <f>AV150+AV174+AV198</f>
        <v/>
      </c>
      <c r="AW125" s="2823" t="n"/>
      <c r="AX125" s="2822" t="n"/>
      <c r="AY125" s="2823" t="n"/>
      <c r="AZ125" s="2821">
        <f>SUM(C125:AW125)</f>
        <v/>
      </c>
      <c r="BA125" s="2823" t="n"/>
    </row>
    <row customFormat="1" r="126" s="2216" spans="1:55">
      <c r="A126" s="2821" t="s">
        <v>191</v>
      </c>
      <c r="B126" s="2822" t="n"/>
      <c r="C126" s="2823" t="n"/>
      <c r="D126" s="2821">
        <f>D151+D175+D199</f>
        <v/>
      </c>
      <c r="E126" s="2821" t="n"/>
      <c r="F126" s="2822" t="n"/>
      <c r="G126" s="2823" t="n"/>
      <c r="H126" s="2821">
        <f>H151+H175+H199</f>
        <v/>
      </c>
      <c r="I126" s="2821" t="n"/>
      <c r="J126" s="2822" t="n"/>
      <c r="K126" s="2823" t="n"/>
      <c r="L126" s="2821">
        <f>L151+L175+L199</f>
        <v/>
      </c>
      <c r="M126" s="2821" t="n"/>
      <c r="N126" s="2818" t="n"/>
      <c r="O126" s="2823" t="n"/>
      <c r="P126" s="2821">
        <f>P151+P175+P199</f>
        <v/>
      </c>
      <c r="Q126" s="2821" t="n"/>
      <c r="R126" s="2822" t="n"/>
      <c r="S126" s="2823" t="n"/>
      <c r="T126" s="2821">
        <f>T151+T175+T199</f>
        <v/>
      </c>
      <c r="U126" s="2821" t="n"/>
      <c r="V126" s="2818" t="n"/>
      <c r="W126" s="2823" t="n"/>
      <c r="X126" s="2821">
        <f>X151+X175+X199</f>
        <v/>
      </c>
      <c r="Y126" s="2821" t="n"/>
      <c r="Z126" s="2818" t="n"/>
      <c r="AA126" s="2823" t="n"/>
      <c r="AB126" s="2821">
        <f>AB151+AB175+AB199</f>
        <v/>
      </c>
      <c r="AC126" s="2821" t="n"/>
      <c r="AD126" s="2818" t="n"/>
      <c r="AE126" s="2823" t="n"/>
      <c r="AF126" s="2821">
        <f>AF151+AF175+AF199</f>
        <v/>
      </c>
      <c r="AG126" s="2821" t="n"/>
      <c r="AH126" s="2818" t="n"/>
      <c r="AI126" s="2823" t="n"/>
      <c r="AJ126" s="2821">
        <f>AJ151+AJ175+AJ199</f>
        <v/>
      </c>
      <c r="AK126" s="2821" t="n"/>
      <c r="AL126" s="2822" t="n"/>
      <c r="AM126" s="2823" t="n"/>
      <c r="AN126" s="2821">
        <f>AN151+AN175+AN199</f>
        <v/>
      </c>
      <c r="AO126" s="2821" t="n"/>
      <c r="AP126" s="2822" t="n"/>
      <c r="AQ126" s="2823" t="n"/>
      <c r="AR126" s="2821">
        <f>AR151+AR175+AR199</f>
        <v/>
      </c>
      <c r="AS126" s="2821" t="n"/>
      <c r="AT126" s="2822" t="n"/>
      <c r="AU126" s="2823" t="n"/>
      <c r="AV126" s="2821">
        <f>AV151+AV175+AV199</f>
        <v/>
      </c>
      <c r="AW126" s="2823" t="n"/>
      <c r="AX126" s="2822" t="n"/>
      <c r="AY126" s="2823" t="n"/>
      <c r="AZ126" s="2821">
        <f>SUM(C126:AW126)</f>
        <v/>
      </c>
      <c r="BA126" s="2823" t="n"/>
    </row>
    <row customFormat="1" r="127" s="2216" spans="1:55">
      <c r="A127" s="2821" t="s">
        <v>192</v>
      </c>
      <c r="B127" s="2822" t="n"/>
      <c r="C127" s="2823" t="n"/>
      <c r="D127" s="2821">
        <f>D152+D176+D200</f>
        <v/>
      </c>
      <c r="E127" s="2821" t="n"/>
      <c r="F127" s="2822" t="n"/>
      <c r="G127" s="2823" t="n"/>
      <c r="H127" s="2821">
        <f>H152+H176+H200</f>
        <v/>
      </c>
      <c r="I127" s="2821" t="n"/>
      <c r="J127" s="2822" t="n"/>
      <c r="K127" s="2823" t="n"/>
      <c r="L127" s="2821">
        <f>L152+L176+L200</f>
        <v/>
      </c>
      <c r="M127" s="2821" t="n"/>
      <c r="N127" s="2818" t="n"/>
      <c r="O127" s="2823" t="n"/>
      <c r="P127" s="2821">
        <f>P152+P176+P200</f>
        <v/>
      </c>
      <c r="Q127" s="2821" t="n"/>
      <c r="R127" s="2822" t="n"/>
      <c r="S127" s="2823" t="n"/>
      <c r="T127" s="2821">
        <f>T152+T176+T200</f>
        <v/>
      </c>
      <c r="U127" s="2821" t="n"/>
      <c r="V127" s="2818" t="n"/>
      <c r="W127" s="2823" t="n"/>
      <c r="X127" s="2821">
        <f>X152+X176+X200</f>
        <v/>
      </c>
      <c r="Y127" s="2821" t="n"/>
      <c r="Z127" s="2818" t="n"/>
      <c r="AA127" s="2823" t="n"/>
      <c r="AB127" s="2821">
        <f>AB152+AB176+AB200</f>
        <v/>
      </c>
      <c r="AC127" s="2821" t="n"/>
      <c r="AD127" s="2818" t="n"/>
      <c r="AE127" s="2823" t="n"/>
      <c r="AF127" s="2821">
        <f>AF152+AF176+AF200</f>
        <v/>
      </c>
      <c r="AG127" s="2821" t="n"/>
      <c r="AH127" s="2818" t="n"/>
      <c r="AI127" s="2823" t="n"/>
      <c r="AJ127" s="2821">
        <f>AJ152+AJ176+AJ200</f>
        <v/>
      </c>
      <c r="AK127" s="2821" t="n"/>
      <c r="AL127" s="2822" t="n"/>
      <c r="AM127" s="2823" t="n"/>
      <c r="AN127" s="2821">
        <f>AN152+AN176+AN200</f>
        <v/>
      </c>
      <c r="AO127" s="2821" t="n"/>
      <c r="AP127" s="2822" t="n"/>
      <c r="AQ127" s="2823" t="n"/>
      <c r="AR127" s="2821">
        <f>AR152+AR176+AR200</f>
        <v/>
      </c>
      <c r="AS127" s="2821" t="n"/>
      <c r="AT127" s="2822" t="n"/>
      <c r="AU127" s="2823" t="n"/>
      <c r="AV127" s="2821">
        <f>AV152+AV176+AV200</f>
        <v/>
      </c>
      <c r="AW127" s="2823" t="n"/>
      <c r="AX127" s="2822" t="n"/>
      <c r="AY127" s="2823" t="n"/>
      <c r="AZ127" s="2821">
        <f>SUM(C127:AW127)</f>
        <v/>
      </c>
      <c r="BA127" s="2823" t="n"/>
    </row>
    <row customFormat="1" r="128" s="2216" spans="1:55">
      <c r="A128" s="2821" t="s">
        <v>194</v>
      </c>
      <c r="B128" s="2822" t="n"/>
      <c r="C128" s="2823" t="n"/>
      <c r="D128" s="2821">
        <f>D153+D177+D201</f>
        <v/>
      </c>
      <c r="E128" s="2821" t="n"/>
      <c r="F128" s="2822" t="n"/>
      <c r="G128" s="2823" t="n"/>
      <c r="H128" s="2821">
        <f>H153+H177+H201</f>
        <v/>
      </c>
      <c r="I128" s="2821" t="n"/>
      <c r="J128" s="2822" t="n"/>
      <c r="K128" s="2823" t="n"/>
      <c r="L128" s="2821">
        <f>L153+L177+L201</f>
        <v/>
      </c>
      <c r="M128" s="2821" t="n"/>
      <c r="N128" s="2818" t="n"/>
      <c r="O128" s="2823" t="n"/>
      <c r="P128" s="2821">
        <f>P153+P177+P201</f>
        <v/>
      </c>
      <c r="Q128" s="2821" t="n"/>
      <c r="R128" s="2822" t="n"/>
      <c r="S128" s="2823" t="n"/>
      <c r="T128" s="2821">
        <f>T153+T177+T201</f>
        <v/>
      </c>
      <c r="U128" s="2821" t="n"/>
      <c r="V128" s="2818" t="n"/>
      <c r="W128" s="2823" t="n"/>
      <c r="X128" s="2821">
        <f>X153+X177+X201</f>
        <v/>
      </c>
      <c r="Y128" s="2821" t="n"/>
      <c r="Z128" s="2818" t="n"/>
      <c r="AA128" s="2823" t="n"/>
      <c r="AB128" s="2821">
        <f>AB153+AB177+AB201</f>
        <v/>
      </c>
      <c r="AC128" s="2821" t="n"/>
      <c r="AD128" s="2818" t="n"/>
      <c r="AE128" s="2823" t="n"/>
      <c r="AF128" s="2821">
        <f>AF153+AF177+AF201</f>
        <v/>
      </c>
      <c r="AG128" s="2821" t="n"/>
      <c r="AH128" s="2818" t="n"/>
      <c r="AI128" s="2823" t="n"/>
      <c r="AJ128" s="2821">
        <f>AJ153+AJ177+AJ201</f>
        <v/>
      </c>
      <c r="AK128" s="2821" t="n"/>
      <c r="AL128" s="2822" t="n"/>
      <c r="AM128" s="2823" t="n"/>
      <c r="AN128" s="2821">
        <f>AN153+AN177+AN201</f>
        <v/>
      </c>
      <c r="AO128" s="2821" t="n"/>
      <c r="AP128" s="2822" t="n"/>
      <c r="AQ128" s="2823" t="n"/>
      <c r="AR128" s="2821">
        <f>AR153+AR177+AR201</f>
        <v/>
      </c>
      <c r="AS128" s="2821" t="n"/>
      <c r="AT128" s="2822" t="n"/>
      <c r="AU128" s="2823" t="n"/>
      <c r="AV128" s="2821">
        <f>AV153+AV177+AV201</f>
        <v/>
      </c>
      <c r="AW128" s="2823" t="n"/>
      <c r="AX128" s="2822" t="n"/>
      <c r="AY128" s="2823" t="n"/>
      <c r="AZ128" s="2821">
        <f>SUM(C128:AW128)</f>
        <v/>
      </c>
      <c r="BA128" s="2823" t="n"/>
    </row>
    <row customFormat="1" r="129" s="2216" spans="1:55">
      <c r="A129" s="2821" t="s">
        <v>195</v>
      </c>
      <c r="B129" s="2822" t="n"/>
      <c r="C129" s="2821" t="n"/>
      <c r="D129" s="2821">
        <f>D154+D178+D202</f>
        <v/>
      </c>
      <c r="E129" s="2821" t="n"/>
      <c r="F129" s="2822" t="n"/>
      <c r="G129" s="2821" t="n"/>
      <c r="H129" s="2821">
        <f>H154+H178+H202</f>
        <v/>
      </c>
      <c r="I129" s="2821" t="n"/>
      <c r="J129" s="2822" t="n"/>
      <c r="K129" s="2821" t="n"/>
      <c r="L129" s="2821">
        <f>L154+L178+L202</f>
        <v/>
      </c>
      <c r="M129" s="2821" t="n"/>
      <c r="N129" s="2818" t="n"/>
      <c r="O129" s="2821" t="n"/>
      <c r="P129" s="2821">
        <f>P154+P178+P202</f>
        <v/>
      </c>
      <c r="Q129" s="2821" t="n"/>
      <c r="R129" s="2822" t="n"/>
      <c r="S129" s="2821" t="n"/>
      <c r="T129" s="2821">
        <f>T154+T178+T202</f>
        <v/>
      </c>
      <c r="U129" s="2821" t="n"/>
      <c r="V129" s="2818" t="n"/>
      <c r="W129" s="2821" t="n"/>
      <c r="X129" s="2821">
        <f>X154+X178+X202</f>
        <v/>
      </c>
      <c r="Y129" s="2821" t="n"/>
      <c r="Z129" s="2818" t="n"/>
      <c r="AA129" s="2821" t="n"/>
      <c r="AB129" s="2821">
        <f>AB154+AB178+AB202</f>
        <v/>
      </c>
      <c r="AC129" s="2821" t="n"/>
      <c r="AD129" s="2818" t="n"/>
      <c r="AE129" s="2821" t="n"/>
      <c r="AF129" s="2821">
        <f>AF154+AF178+AF202</f>
        <v/>
      </c>
      <c r="AG129" s="2821" t="n"/>
      <c r="AH129" s="2818" t="n"/>
      <c r="AI129" s="2821" t="n"/>
      <c r="AJ129" s="2821">
        <f>AJ154+AJ178+AJ202</f>
        <v/>
      </c>
      <c r="AK129" s="2821" t="n"/>
      <c r="AL129" s="2822" t="n"/>
      <c r="AM129" s="2821" t="n"/>
      <c r="AN129" s="2821">
        <f>AN154+AN178+AN202</f>
        <v/>
      </c>
      <c r="AO129" s="2821" t="n"/>
      <c r="AP129" s="2822" t="n"/>
      <c r="AQ129" s="2821" t="n"/>
      <c r="AR129" s="2821">
        <f>AR154+AR178+AR202</f>
        <v/>
      </c>
      <c r="AS129" s="2821" t="n"/>
      <c r="AT129" s="2822" t="n"/>
      <c r="AU129" s="2821" t="n"/>
      <c r="AV129" s="2821">
        <f>AV154+AV178+AV202</f>
        <v/>
      </c>
      <c r="AW129" s="2821" t="n"/>
      <c r="AX129" s="2822" t="n"/>
      <c r="AY129" s="2821" t="n"/>
      <c r="AZ129" s="2821">
        <f>SUM(C129:AW129)</f>
        <v/>
      </c>
      <c r="BA129" s="2821" t="n"/>
    </row>
    <row customFormat="1" r="130" s="2216" spans="1:55">
      <c r="A130" s="2794" t="s">
        <v>366</v>
      </c>
      <c r="B130" s="2793" t="n"/>
      <c r="C130" s="2794" t="n"/>
      <c r="D130" s="2794">
        <f>D155+D179+D203</f>
        <v/>
      </c>
      <c r="E130" s="2794" t="n"/>
      <c r="F130" s="2793" t="n"/>
      <c r="G130" s="2794" t="n"/>
      <c r="H130" s="2794">
        <f>H155+H179+H203</f>
        <v/>
      </c>
      <c r="I130" s="2794" t="n"/>
      <c r="J130" s="2793" t="n"/>
      <c r="K130" s="2794" t="n"/>
      <c r="L130" s="2794">
        <f>L155+L179+L203</f>
        <v/>
      </c>
      <c r="M130" s="2794" t="n"/>
      <c r="N130" s="2795" t="n"/>
      <c r="O130" s="2794" t="n"/>
      <c r="P130" s="2794">
        <f>P155+P179+P203</f>
        <v/>
      </c>
      <c r="Q130" s="2794" t="n"/>
      <c r="R130" s="2793" t="n"/>
      <c r="S130" s="2794" t="n"/>
      <c r="T130" s="2794">
        <f>T155+T179+T203</f>
        <v/>
      </c>
      <c r="U130" s="2794" t="n"/>
      <c r="V130" s="2795" t="n"/>
      <c r="W130" s="2794" t="n"/>
      <c r="X130" s="2794">
        <f>X155+X179+X203</f>
        <v/>
      </c>
      <c r="Y130" s="2794" t="n"/>
      <c r="Z130" s="2795" t="n"/>
      <c r="AA130" s="2794" t="n"/>
      <c r="AB130" s="2794">
        <f>AB155+AB179+AB203</f>
        <v/>
      </c>
      <c r="AC130" s="2794" t="n"/>
      <c r="AD130" s="2795" t="n"/>
      <c r="AE130" s="2794" t="n"/>
      <c r="AF130" s="2794">
        <f>AF155+AF179+AF203</f>
        <v/>
      </c>
      <c r="AG130" s="2794" t="n"/>
      <c r="AH130" s="2795" t="n"/>
      <c r="AI130" s="2794" t="n"/>
      <c r="AJ130" s="2794">
        <f>AJ155+AJ179+AJ203</f>
        <v/>
      </c>
      <c r="AK130" s="2794" t="n"/>
      <c r="AL130" s="2793" t="n"/>
      <c r="AM130" s="2794" t="n"/>
      <c r="AN130" s="2794">
        <f>AN155+AN179+AN203</f>
        <v/>
      </c>
      <c r="AO130" s="2794" t="n"/>
      <c r="AP130" s="2793" t="n"/>
      <c r="AQ130" s="2794" t="n"/>
      <c r="AR130" s="2794">
        <f>AR155+AR179+AR203</f>
        <v/>
      </c>
      <c r="AS130" s="2794" t="n"/>
      <c r="AT130" s="2793" t="n"/>
      <c r="AU130" s="2794" t="n"/>
      <c r="AV130" s="2794">
        <f>AV155+AV179+AV203</f>
        <v/>
      </c>
      <c r="AW130" s="2794" t="n"/>
      <c r="AX130" s="2793" t="n"/>
      <c r="AY130" s="2794" t="n"/>
      <c r="AZ130" s="2792">
        <f>SUM(C130:AW130)</f>
        <v/>
      </c>
      <c r="BA130" s="2794" t="n"/>
    </row>
    <row customFormat="1" r="131" s="2216" spans="1:55">
      <c r="A131" s="2821" t="s">
        <v>161</v>
      </c>
      <c r="B131" s="2822" t="n"/>
      <c r="C131" s="2823" t="n"/>
      <c r="D131" s="2821">
        <f>D156+D180+D204</f>
        <v/>
      </c>
      <c r="E131" s="2821" t="n"/>
      <c r="F131" s="2822" t="n"/>
      <c r="G131" s="2823" t="n"/>
      <c r="H131" s="2821">
        <f>H156+H180+H204</f>
        <v/>
      </c>
      <c r="I131" s="2821" t="n"/>
      <c r="J131" s="2822" t="n"/>
      <c r="K131" s="2823" t="n"/>
      <c r="L131" s="2821">
        <f>L156+L180+L204</f>
        <v/>
      </c>
      <c r="M131" s="2821" t="n"/>
      <c r="N131" s="2818" t="n"/>
      <c r="O131" s="2823" t="n"/>
      <c r="P131" s="2821">
        <f>P156+P180+P204</f>
        <v/>
      </c>
      <c r="Q131" s="2821" t="n"/>
      <c r="R131" s="2822" t="n"/>
      <c r="S131" s="2823" t="n"/>
      <c r="T131" s="2821">
        <f>T156+T180+T204</f>
        <v/>
      </c>
      <c r="U131" s="2821" t="n"/>
      <c r="V131" s="2818" t="n"/>
      <c r="W131" s="2823" t="n"/>
      <c r="X131" s="2821">
        <f>X156+X180+X204</f>
        <v/>
      </c>
      <c r="Y131" s="2821" t="n"/>
      <c r="Z131" s="2818" t="n"/>
      <c r="AA131" s="2823" t="n"/>
      <c r="AB131" s="2821">
        <f>AB156+AB180+AB204</f>
        <v/>
      </c>
      <c r="AC131" s="2821" t="n"/>
      <c r="AD131" s="2818" t="n"/>
      <c r="AE131" s="2823" t="n"/>
      <c r="AF131" s="2821">
        <f>AF156+AF180+AF204</f>
        <v/>
      </c>
      <c r="AG131" s="2821" t="n"/>
      <c r="AH131" s="2818" t="n"/>
      <c r="AI131" s="2823" t="n"/>
      <c r="AJ131" s="2821">
        <f>AJ156+AJ180+AJ204</f>
        <v/>
      </c>
      <c r="AK131" s="2821" t="n"/>
      <c r="AL131" s="2822" t="n"/>
      <c r="AM131" s="2823" t="n"/>
      <c r="AN131" s="2821">
        <f>AN156+AN180+AN204</f>
        <v/>
      </c>
      <c r="AO131" s="2821" t="n"/>
      <c r="AP131" s="2822" t="n"/>
      <c r="AQ131" s="2823" t="n"/>
      <c r="AR131" s="2821">
        <f>AR156+AR180+AR204</f>
        <v/>
      </c>
      <c r="AS131" s="2821" t="n"/>
      <c r="AT131" s="2822" t="n"/>
      <c r="AU131" s="2823" t="n"/>
      <c r="AV131" s="2821">
        <f>AV156+AV180+AV204</f>
        <v/>
      </c>
      <c r="AW131" s="2823" t="n"/>
      <c r="AX131" s="2822" t="n"/>
      <c r="AY131" s="2823" t="n"/>
      <c r="AZ131" s="2821">
        <f>SUM(C131:AW131)</f>
        <v/>
      </c>
      <c r="BA131" s="2823" t="n"/>
    </row>
    <row customFormat="1" r="132" s="2216" spans="1:55">
      <c r="A132" s="2824" t="s">
        <v>367</v>
      </c>
      <c r="B132" s="2822" t="n"/>
      <c r="C132" s="2823" t="n"/>
      <c r="D132" s="2821">
        <f>D157+D181+D205</f>
        <v/>
      </c>
      <c r="E132" s="2821" t="n"/>
      <c r="F132" s="2822" t="n"/>
      <c r="G132" s="2823" t="n"/>
      <c r="H132" s="2821">
        <f>H157+H181+H205</f>
        <v/>
      </c>
      <c r="I132" s="2821" t="n"/>
      <c r="J132" s="2822" t="n"/>
      <c r="K132" s="2823" t="n"/>
      <c r="L132" s="2821">
        <f>L157+L181+L205</f>
        <v/>
      </c>
      <c r="M132" s="2821" t="n"/>
      <c r="N132" s="2818" t="n"/>
      <c r="O132" s="2823" t="n"/>
      <c r="P132" s="2821">
        <f>P157+P181+P205</f>
        <v/>
      </c>
      <c r="Q132" s="2821" t="n"/>
      <c r="R132" s="2822" t="n"/>
      <c r="S132" s="2823" t="n"/>
      <c r="T132" s="2821">
        <f>T157+T181+T205</f>
        <v/>
      </c>
      <c r="U132" s="2821" t="n"/>
      <c r="V132" s="2818" t="n"/>
      <c r="W132" s="2823" t="n"/>
      <c r="X132" s="2821">
        <f>X157+X181+X205</f>
        <v/>
      </c>
      <c r="Y132" s="2821" t="n"/>
      <c r="Z132" s="2818" t="n"/>
      <c r="AA132" s="2823" t="n"/>
      <c r="AB132" s="2821">
        <f>AB157+AB181+AB205</f>
        <v/>
      </c>
      <c r="AC132" s="2821" t="n"/>
      <c r="AD132" s="2818" t="n"/>
      <c r="AE132" s="2823" t="n"/>
      <c r="AF132" s="2821">
        <f>AF157+AF181+AF205</f>
        <v/>
      </c>
      <c r="AG132" s="2821" t="n"/>
      <c r="AH132" s="2818" t="n"/>
      <c r="AI132" s="2823" t="n"/>
      <c r="AJ132" s="2821">
        <f>AJ157+AJ181+AJ205</f>
        <v/>
      </c>
      <c r="AK132" s="2821" t="n"/>
      <c r="AL132" s="2822" t="n"/>
      <c r="AM132" s="2823" t="n"/>
      <c r="AN132" s="2821">
        <f>AN157+AN181+AN205</f>
        <v/>
      </c>
      <c r="AO132" s="2821" t="n"/>
      <c r="AP132" s="2822" t="n"/>
      <c r="AQ132" s="2823" t="n"/>
      <c r="AR132" s="2821">
        <f>AR157+AR181+AR205</f>
        <v/>
      </c>
      <c r="AS132" s="2821" t="n"/>
      <c r="AT132" s="2822" t="n"/>
      <c r="AU132" s="2823" t="n"/>
      <c r="AV132" s="2821">
        <f>AV157+AV181+AV205</f>
        <v/>
      </c>
      <c r="AW132" s="2823" t="n"/>
      <c r="AX132" s="2822" t="n"/>
      <c r="AY132" s="2823" t="n"/>
      <c r="AZ132" s="2821">
        <f>SUM(C132:AW132)</f>
        <v/>
      </c>
      <c r="BA132" s="2823" t="n"/>
    </row>
    <row customFormat="1" r="133" s="2216" spans="1:55">
      <c r="A133" s="2821" t="s">
        <v>232</v>
      </c>
      <c r="B133" s="2822" t="n"/>
      <c r="C133" s="2821" t="n"/>
      <c r="D133" s="2821">
        <f>D158+D182+D206</f>
        <v/>
      </c>
      <c r="E133" s="2821" t="n"/>
      <c r="F133" s="2822" t="n"/>
      <c r="G133" s="2821" t="n"/>
      <c r="H133" s="2821">
        <f>H158+H182+H206</f>
        <v/>
      </c>
      <c r="I133" s="2821" t="n"/>
      <c r="J133" s="2822" t="n"/>
      <c r="K133" s="2821" t="n"/>
      <c r="L133" s="2821">
        <f>L158+L182+L206</f>
        <v/>
      </c>
      <c r="M133" s="2821" t="n"/>
      <c r="N133" s="2818" t="n"/>
      <c r="O133" s="2821" t="n"/>
      <c r="P133" s="2821">
        <f>P158+P182+P206</f>
        <v/>
      </c>
      <c r="Q133" s="2821" t="n"/>
      <c r="R133" s="2822" t="n"/>
      <c r="S133" s="2821" t="n"/>
      <c r="T133" s="2821">
        <f>T158+T182+T206</f>
        <v/>
      </c>
      <c r="U133" s="2821" t="n"/>
      <c r="V133" s="2818" t="n"/>
      <c r="W133" s="2821" t="n"/>
      <c r="X133" s="2821">
        <f>X158+X182+X206</f>
        <v/>
      </c>
      <c r="Y133" s="2821" t="n"/>
      <c r="Z133" s="2818" t="n"/>
      <c r="AA133" s="2821" t="n"/>
      <c r="AB133" s="2821">
        <f>AB158+AB182+AB206</f>
        <v/>
      </c>
      <c r="AC133" s="2821" t="n"/>
      <c r="AD133" s="2818" t="n"/>
      <c r="AE133" s="2821" t="n"/>
      <c r="AF133" s="2821">
        <f>AF158+AF182+AF206</f>
        <v/>
      </c>
      <c r="AG133" s="2821" t="n"/>
      <c r="AH133" s="2818" t="n"/>
      <c r="AI133" s="2821" t="n"/>
      <c r="AJ133" s="2821">
        <f>AJ158+AJ182+AJ206</f>
        <v/>
      </c>
      <c r="AK133" s="2821" t="n"/>
      <c r="AL133" s="2822" t="n"/>
      <c r="AM133" s="2821" t="n"/>
      <c r="AN133" s="2821">
        <f>AN158+AN182+AN206</f>
        <v/>
      </c>
      <c r="AO133" s="2821" t="n"/>
      <c r="AP133" s="2822" t="n"/>
      <c r="AQ133" s="2821" t="n"/>
      <c r="AR133" s="2821">
        <f>AR158+AR182+AR206</f>
        <v/>
      </c>
      <c r="AS133" s="2821" t="n"/>
      <c r="AT133" s="2822" t="n"/>
      <c r="AU133" s="2821" t="n"/>
      <c r="AV133" s="2821">
        <f>AV158+AV182+AV206</f>
        <v/>
      </c>
      <c r="AW133" s="2821" t="n"/>
      <c r="AX133" s="2822" t="n"/>
      <c r="AY133" s="2821" t="n"/>
      <c r="AZ133" s="2821">
        <f>SUM(C133:AW133)</f>
        <v/>
      </c>
      <c r="BA133" s="2821" t="n"/>
    </row>
    <row customFormat="1" r="134" s="2216" spans="1:55">
      <c r="A134" s="2825" t="s">
        <v>233</v>
      </c>
      <c r="B134" s="2822" t="n"/>
      <c r="C134" s="2825" t="n"/>
      <c r="D134" s="2821">
        <f>D159+D183+D207</f>
        <v/>
      </c>
      <c r="E134" s="2821" t="n"/>
      <c r="F134" s="2822" t="n"/>
      <c r="G134" s="2825" t="n"/>
      <c r="H134" s="2821">
        <f>H159+H183+H207</f>
        <v/>
      </c>
      <c r="I134" s="2821" t="n"/>
      <c r="J134" s="2822" t="n"/>
      <c r="K134" s="2825" t="n"/>
      <c r="L134" s="2821">
        <f>L159+L183+L207</f>
        <v/>
      </c>
      <c r="M134" s="2821" t="n"/>
      <c r="N134" s="2818" t="n"/>
      <c r="O134" s="2825" t="n"/>
      <c r="P134" s="2821">
        <f>P159+P183+P207</f>
        <v/>
      </c>
      <c r="Q134" s="2821" t="n"/>
      <c r="R134" s="2822" t="n"/>
      <c r="S134" s="2825" t="n"/>
      <c r="T134" s="2821">
        <f>T159+T183+T207</f>
        <v/>
      </c>
      <c r="U134" s="2821" t="n"/>
      <c r="V134" s="2818" t="n"/>
      <c r="W134" s="2825" t="n"/>
      <c r="X134" s="2821">
        <f>X159+X183+X207</f>
        <v/>
      </c>
      <c r="Y134" s="2821" t="n"/>
      <c r="Z134" s="2818" t="n"/>
      <c r="AA134" s="2825" t="n"/>
      <c r="AB134" s="2821">
        <f>AB159+AB183+AB207</f>
        <v/>
      </c>
      <c r="AC134" s="2821" t="n"/>
      <c r="AD134" s="2818" t="n"/>
      <c r="AE134" s="2825" t="n"/>
      <c r="AF134" s="2821">
        <f>AF159+AF183+AF207</f>
        <v/>
      </c>
      <c r="AG134" s="2821" t="n"/>
      <c r="AH134" s="2818" t="n"/>
      <c r="AI134" s="2825" t="n"/>
      <c r="AJ134" s="2821">
        <f>AJ159+AJ183+AJ207</f>
        <v/>
      </c>
      <c r="AK134" s="2821" t="n"/>
      <c r="AL134" s="2822" t="n"/>
      <c r="AM134" s="2825" t="n"/>
      <c r="AN134" s="2821">
        <f>AN159+AN183+AN207</f>
        <v/>
      </c>
      <c r="AO134" s="2821" t="n"/>
      <c r="AP134" s="2822" t="n"/>
      <c r="AQ134" s="2825" t="n"/>
      <c r="AR134" s="2821">
        <f>AR159+AR183+AR207</f>
        <v/>
      </c>
      <c r="AS134" s="2821" t="n"/>
      <c r="AT134" s="2822" t="n"/>
      <c r="AU134" s="2825" t="n"/>
      <c r="AV134" s="2821">
        <f>AV159+AV183+AV207</f>
        <v/>
      </c>
      <c r="AW134" s="2825" t="n"/>
      <c r="AX134" s="2822" t="n"/>
      <c r="AY134" s="2825" t="n"/>
      <c r="AZ134" s="2821">
        <f>SUM(C134:AW134)</f>
        <v/>
      </c>
      <c r="BA134" s="2825" t="n"/>
    </row>
    <row customFormat="1" r="135" s="2216" spans="1:55">
      <c r="A135" s="2825" t="s">
        <v>368</v>
      </c>
      <c r="B135" s="2822" t="n"/>
      <c r="C135" s="2825" t="n"/>
      <c r="D135" s="2821">
        <f>D160+D184+D208</f>
        <v/>
      </c>
      <c r="E135" s="2821" t="n"/>
      <c r="F135" s="2822" t="n"/>
      <c r="G135" s="2825" t="n"/>
      <c r="H135" s="2821">
        <f>H160+H184+H208</f>
        <v/>
      </c>
      <c r="I135" s="2821" t="n"/>
      <c r="J135" s="2822" t="n"/>
      <c r="K135" s="2825" t="n"/>
      <c r="L135" s="2821">
        <f>L160+L184+L208</f>
        <v/>
      </c>
      <c r="M135" s="2821" t="n"/>
      <c r="N135" s="2818" t="n"/>
      <c r="O135" s="2825" t="n"/>
      <c r="P135" s="2821">
        <f>P160+P184+P208</f>
        <v/>
      </c>
      <c r="Q135" s="2821" t="n"/>
      <c r="R135" s="2822" t="n"/>
      <c r="S135" s="2825" t="n"/>
      <c r="T135" s="2821">
        <f>T160+T184+T208</f>
        <v/>
      </c>
      <c r="U135" s="2821" t="n"/>
      <c r="V135" s="2818" t="n"/>
      <c r="W135" s="2825" t="n"/>
      <c r="X135" s="2821">
        <f>X160+X184+X208</f>
        <v/>
      </c>
      <c r="Y135" s="2821" t="n"/>
      <c r="Z135" s="2818" t="n"/>
      <c r="AA135" s="2825" t="n"/>
      <c r="AB135" s="2821">
        <f>AB160+AB184+AB208</f>
        <v/>
      </c>
      <c r="AC135" s="2821" t="n"/>
      <c r="AD135" s="2818" t="n"/>
      <c r="AE135" s="2825" t="n"/>
      <c r="AF135" s="2821">
        <f>AF160+AF184+AF208</f>
        <v/>
      </c>
      <c r="AG135" s="2821" t="n"/>
      <c r="AH135" s="2818" t="n"/>
      <c r="AI135" s="2825" t="n"/>
      <c r="AJ135" s="2821">
        <f>AJ160+AJ184+AJ208</f>
        <v/>
      </c>
      <c r="AK135" s="2821" t="n"/>
      <c r="AL135" s="2822" t="n"/>
      <c r="AM135" s="2825" t="n"/>
      <c r="AN135" s="2821">
        <f>AN160+AN184+AN208</f>
        <v/>
      </c>
      <c r="AO135" s="2821" t="n"/>
      <c r="AP135" s="2822" t="n"/>
      <c r="AQ135" s="2825" t="n"/>
      <c r="AR135" s="2821">
        <f>AR160+AR184+AR208</f>
        <v/>
      </c>
      <c r="AS135" s="2821" t="n"/>
      <c r="AT135" s="2822" t="n"/>
      <c r="AU135" s="2825" t="n"/>
      <c r="AV135" s="2821">
        <f>AV160+AV184+AV208</f>
        <v/>
      </c>
      <c r="AW135" s="2825" t="n"/>
      <c r="AX135" s="2822" t="n"/>
      <c r="AY135" s="2825" t="n"/>
      <c r="AZ135" s="2821">
        <f>SUM(C135:AW135)</f>
        <v/>
      </c>
      <c r="BA135" s="2825" t="n"/>
    </row>
    <row customFormat="1" r="136" s="2216" spans="1:55">
      <c r="A136" s="2824" t="s">
        <v>369</v>
      </c>
      <c r="B136" s="2822" t="n"/>
      <c r="C136" s="2823" t="n"/>
      <c r="D136" s="2821">
        <f>D161+D185+D209</f>
        <v/>
      </c>
      <c r="E136" s="2821" t="n"/>
      <c r="F136" s="2822" t="n"/>
      <c r="G136" s="2823" t="n"/>
      <c r="H136" s="2821">
        <f>H161+H185+H209</f>
        <v/>
      </c>
      <c r="I136" s="2821" t="n"/>
      <c r="J136" s="2822" t="n"/>
      <c r="K136" s="2823" t="n"/>
      <c r="L136" s="2821">
        <f>L161+L185+L209</f>
        <v/>
      </c>
      <c r="M136" s="2821" t="n"/>
      <c r="N136" s="2818" t="n"/>
      <c r="O136" s="2823" t="n"/>
      <c r="P136" s="2821">
        <f>P161+P185+P209</f>
        <v/>
      </c>
      <c r="Q136" s="2821" t="n"/>
      <c r="R136" s="2822" t="n"/>
      <c r="S136" s="2823" t="n"/>
      <c r="T136" s="2821">
        <f>T161+T185+T209</f>
        <v/>
      </c>
      <c r="U136" s="2821" t="n"/>
      <c r="V136" s="2818" t="n"/>
      <c r="W136" s="2823" t="n"/>
      <c r="X136" s="2821">
        <f>X161+X185+X209</f>
        <v/>
      </c>
      <c r="Y136" s="2821" t="n"/>
      <c r="Z136" s="2818" t="n"/>
      <c r="AA136" s="2823" t="n"/>
      <c r="AB136" s="2821">
        <f>AB161+AB185+AB209</f>
        <v/>
      </c>
      <c r="AC136" s="2821" t="n"/>
      <c r="AD136" s="2818" t="n"/>
      <c r="AE136" s="2823" t="n"/>
      <c r="AF136" s="2821">
        <f>AF161+AF185+AF209</f>
        <v/>
      </c>
      <c r="AG136" s="2821" t="n"/>
      <c r="AH136" s="2818" t="n"/>
      <c r="AI136" s="2823" t="n"/>
      <c r="AJ136" s="2821">
        <f>AJ161+AJ185+AJ209</f>
        <v/>
      </c>
      <c r="AK136" s="2821" t="n"/>
      <c r="AL136" s="2822" t="n"/>
      <c r="AM136" s="2823" t="n"/>
      <c r="AN136" s="2821">
        <f>AN161+AN185+AN209</f>
        <v/>
      </c>
      <c r="AO136" s="2821" t="n"/>
      <c r="AP136" s="2822" t="n"/>
      <c r="AQ136" s="2823" t="n"/>
      <c r="AR136" s="2821">
        <f>AR161+AR185+AR209</f>
        <v/>
      </c>
      <c r="AS136" s="2821" t="n"/>
      <c r="AT136" s="2822" t="n"/>
      <c r="AU136" s="2823" t="n"/>
      <c r="AV136" s="2821">
        <f>AV161+AV185+AV209</f>
        <v/>
      </c>
      <c r="AW136" s="2823" t="n"/>
      <c r="AX136" s="2822" t="n"/>
      <c r="AY136" s="2823" t="n"/>
      <c r="AZ136" s="2821">
        <f>SUM(C136:AW136)</f>
        <v/>
      </c>
      <c r="BA136" s="2823" t="n"/>
    </row>
    <row customFormat="1" r="137" s="2216" spans="1:55">
      <c r="A137" s="2824" t="s">
        <v>370</v>
      </c>
      <c r="B137" s="2822" t="n"/>
      <c r="C137" s="2823" t="n"/>
      <c r="D137" s="2821">
        <f>D162+D186+D210</f>
        <v/>
      </c>
      <c r="E137" s="2821" t="n"/>
      <c r="F137" s="2822" t="n"/>
      <c r="G137" s="2823" t="n"/>
      <c r="H137" s="2821">
        <f>H162+H186+H210</f>
        <v/>
      </c>
      <c r="I137" s="2821" t="n"/>
      <c r="J137" s="2822" t="n"/>
      <c r="K137" s="2823" t="n"/>
      <c r="L137" s="2821">
        <f>L162+L186+L210</f>
        <v/>
      </c>
      <c r="M137" s="2821" t="n"/>
      <c r="N137" s="2818" t="n"/>
      <c r="O137" s="2823" t="n"/>
      <c r="P137" s="2821">
        <f>P162+P186+P210</f>
        <v/>
      </c>
      <c r="Q137" s="2821" t="n"/>
      <c r="R137" s="2822" t="n"/>
      <c r="S137" s="2823" t="n"/>
      <c r="T137" s="2821">
        <f>T162+T186+T210</f>
        <v/>
      </c>
      <c r="U137" s="2821" t="n"/>
      <c r="V137" s="2818" t="n"/>
      <c r="W137" s="2823" t="n"/>
      <c r="X137" s="2821">
        <f>X162+X186+X210</f>
        <v/>
      </c>
      <c r="Y137" s="2821" t="n"/>
      <c r="Z137" s="2818" t="n"/>
      <c r="AA137" s="2823" t="n"/>
      <c r="AB137" s="2821">
        <f>AB162+AB186+AB210</f>
        <v/>
      </c>
      <c r="AC137" s="2821" t="n"/>
      <c r="AD137" s="2818" t="n"/>
      <c r="AE137" s="2823" t="n"/>
      <c r="AF137" s="2821">
        <f>AF162+AF186+AF210</f>
        <v/>
      </c>
      <c r="AG137" s="2821" t="n"/>
      <c r="AH137" s="2818" t="n"/>
      <c r="AI137" s="2823" t="n"/>
      <c r="AJ137" s="2821">
        <f>AJ162+AJ186+AJ210</f>
        <v/>
      </c>
      <c r="AK137" s="2821" t="n"/>
      <c r="AL137" s="2822" t="n"/>
      <c r="AM137" s="2823" t="n"/>
      <c r="AN137" s="2821">
        <f>AN162+AN186+AN210</f>
        <v/>
      </c>
      <c r="AO137" s="2821" t="n"/>
      <c r="AP137" s="2822" t="n"/>
      <c r="AQ137" s="2823" t="n"/>
      <c r="AR137" s="2821">
        <f>AR162+AR186+AR210</f>
        <v/>
      </c>
      <c r="AS137" s="2821" t="n"/>
      <c r="AT137" s="2822" t="n"/>
      <c r="AU137" s="2823" t="n"/>
      <c r="AV137" s="2821">
        <f>AV162+AV186+AV210</f>
        <v/>
      </c>
      <c r="AW137" s="2823" t="n"/>
      <c r="AX137" s="2822" t="n"/>
      <c r="AY137" s="2823" t="n"/>
      <c r="AZ137" s="2821">
        <f>SUM(C137:AW137)</f>
        <v/>
      </c>
      <c r="BA137" s="2823" t="n"/>
    </row>
    <row customFormat="1" r="138" s="2216" spans="1:55">
      <c r="A138" s="2824" t="s">
        <v>371</v>
      </c>
      <c r="B138" s="2822" t="n"/>
      <c r="C138" s="2823" t="n"/>
      <c r="D138" s="2821">
        <f>D163+D187+D211</f>
        <v/>
      </c>
      <c r="E138" s="2821" t="n"/>
      <c r="F138" s="2822" t="n"/>
      <c r="G138" s="2823" t="n"/>
      <c r="H138" s="2821">
        <f>H163+H187+H211</f>
        <v/>
      </c>
      <c r="I138" s="2821" t="n"/>
      <c r="J138" s="2822" t="n"/>
      <c r="K138" s="2823" t="n"/>
      <c r="L138" s="2821">
        <f>L163+L187+L211</f>
        <v/>
      </c>
      <c r="M138" s="2821" t="n"/>
      <c r="N138" s="2818" t="n"/>
      <c r="O138" s="2823" t="n"/>
      <c r="P138" s="2821">
        <f>P163+P187+P211</f>
        <v/>
      </c>
      <c r="Q138" s="2821" t="n"/>
      <c r="R138" s="2822" t="n"/>
      <c r="S138" s="2823" t="n"/>
      <c r="T138" s="2821">
        <f>T163+T187+T211</f>
        <v/>
      </c>
      <c r="U138" s="2821" t="n"/>
      <c r="V138" s="2818" t="n"/>
      <c r="W138" s="2823" t="n"/>
      <c r="X138" s="2821">
        <f>X163+X187+X211</f>
        <v/>
      </c>
      <c r="Y138" s="2821" t="n"/>
      <c r="Z138" s="2818" t="n"/>
      <c r="AA138" s="2823" t="n"/>
      <c r="AB138" s="2821">
        <f>AB163+AB187+AB211</f>
        <v/>
      </c>
      <c r="AC138" s="2821" t="n"/>
      <c r="AD138" s="2818" t="n"/>
      <c r="AE138" s="2823" t="n"/>
      <c r="AF138" s="2821">
        <f>AF163+AF187+AF211</f>
        <v/>
      </c>
      <c r="AG138" s="2821" t="n"/>
      <c r="AH138" s="2818" t="n"/>
      <c r="AI138" s="2823" t="n"/>
      <c r="AJ138" s="2821">
        <f>AJ163+AJ187+AJ211</f>
        <v/>
      </c>
      <c r="AK138" s="2821" t="n"/>
      <c r="AL138" s="2822" t="n"/>
      <c r="AM138" s="2823" t="n"/>
      <c r="AN138" s="2821">
        <f>AN163+AN187+AN211</f>
        <v/>
      </c>
      <c r="AO138" s="2821" t="n"/>
      <c r="AP138" s="2822" t="n"/>
      <c r="AQ138" s="2823" t="n"/>
      <c r="AR138" s="2821">
        <f>AR163+AR187+AR211</f>
        <v/>
      </c>
      <c r="AS138" s="2821" t="n"/>
      <c r="AT138" s="2822" t="n"/>
      <c r="AU138" s="2823" t="n"/>
      <c r="AV138" s="2821">
        <f>AV163+AV187+AV211</f>
        <v/>
      </c>
      <c r="AW138" s="2823" t="n"/>
      <c r="AX138" s="2822" t="n"/>
      <c r="AY138" s="2823" t="n"/>
      <c r="AZ138" s="2821">
        <f>SUM(C138:AW138)</f>
        <v/>
      </c>
      <c r="BA138" s="2823" t="n"/>
    </row>
    <row customFormat="1" r="139" s="2216" spans="1:55">
      <c r="A139" s="2824" t="s">
        <v>372</v>
      </c>
      <c r="B139" s="2822" t="n"/>
      <c r="C139" s="2823" t="n"/>
      <c r="D139" s="2821">
        <f>D164+D188+D212</f>
        <v/>
      </c>
      <c r="E139" s="2821" t="n"/>
      <c r="F139" s="2822" t="n"/>
      <c r="G139" s="2823" t="n"/>
      <c r="H139" s="2821">
        <f>H164+H188+H212</f>
        <v/>
      </c>
      <c r="I139" s="2821" t="n"/>
      <c r="J139" s="2822" t="n"/>
      <c r="K139" s="2823" t="n"/>
      <c r="L139" s="2821">
        <f>L164+L188+L212</f>
        <v/>
      </c>
      <c r="M139" s="2821" t="n"/>
      <c r="N139" s="2818" t="n"/>
      <c r="O139" s="2823" t="n"/>
      <c r="P139" s="2821">
        <f>P164+P188+P212</f>
        <v/>
      </c>
      <c r="Q139" s="2821" t="n"/>
      <c r="R139" s="2822" t="n"/>
      <c r="S139" s="2823" t="n"/>
      <c r="T139" s="2821">
        <f>T164+T188+T212</f>
        <v/>
      </c>
      <c r="U139" s="2821" t="n"/>
      <c r="V139" s="2818" t="n"/>
      <c r="W139" s="2823" t="n"/>
      <c r="X139" s="2821">
        <f>X164+X188+X212</f>
        <v/>
      </c>
      <c r="Y139" s="2821" t="n"/>
      <c r="Z139" s="2818" t="n"/>
      <c r="AA139" s="2823" t="n"/>
      <c r="AB139" s="2821">
        <f>AB164+AB188+AB212</f>
        <v/>
      </c>
      <c r="AC139" s="2821" t="n"/>
      <c r="AD139" s="2818" t="n"/>
      <c r="AE139" s="2823" t="n"/>
      <c r="AF139" s="2821">
        <f>AF164+AF188+AF212</f>
        <v/>
      </c>
      <c r="AG139" s="2821" t="n"/>
      <c r="AH139" s="2818" t="n"/>
      <c r="AI139" s="2823" t="n"/>
      <c r="AJ139" s="2821">
        <f>AJ164+AJ188+AJ212</f>
        <v/>
      </c>
      <c r="AK139" s="2821" t="n"/>
      <c r="AL139" s="2822" t="n"/>
      <c r="AM139" s="2823" t="n"/>
      <c r="AN139" s="2821">
        <f>AN164+AN188+AN212</f>
        <v/>
      </c>
      <c r="AO139" s="2821" t="n"/>
      <c r="AP139" s="2822" t="n"/>
      <c r="AQ139" s="2823" t="n"/>
      <c r="AR139" s="2821">
        <f>AR164+AR188+AR212</f>
        <v/>
      </c>
      <c r="AS139" s="2821" t="n"/>
      <c r="AT139" s="2822" t="n"/>
      <c r="AU139" s="2823" t="n"/>
      <c r="AV139" s="2821">
        <f>AV164+AV188+AV212</f>
        <v/>
      </c>
      <c r="AW139" s="2823" t="n"/>
      <c r="AX139" s="2822" t="n"/>
      <c r="AY139" s="2823" t="n"/>
      <c r="AZ139" s="2821">
        <f>SUM(C139:AW139)</f>
        <v/>
      </c>
      <c r="BA139" s="2823" t="n"/>
    </row>
    <row customFormat="1" r="140" s="2216" spans="1:55">
      <c r="A140" s="2826" t="s">
        <v>89</v>
      </c>
      <c r="B140" s="2822" t="n"/>
      <c r="C140" s="2821">
        <f>C165+C189+C213</f>
        <v/>
      </c>
      <c r="D140" s="2821" t="n"/>
      <c r="E140" s="2821" t="n"/>
      <c r="F140" s="2822" t="n"/>
      <c r="G140" s="2821">
        <f>G165+G189+G213</f>
        <v/>
      </c>
      <c r="H140" s="2821" t="n"/>
      <c r="I140" s="2821" t="n"/>
      <c r="J140" s="2822" t="n"/>
      <c r="K140" s="2821">
        <f>K165+K189+K213</f>
        <v/>
      </c>
      <c r="L140" s="2821" t="n"/>
      <c r="M140" s="2821" t="n"/>
      <c r="N140" s="2818" t="n"/>
      <c r="O140" s="2821">
        <f>O165+O189+O213</f>
        <v/>
      </c>
      <c r="P140" s="2821" t="n"/>
      <c r="Q140" s="2821" t="n"/>
      <c r="R140" s="2822" t="n"/>
      <c r="S140" s="2821">
        <f>S165+S189+S213</f>
        <v/>
      </c>
      <c r="T140" s="2821" t="n"/>
      <c r="U140" s="2821" t="n"/>
      <c r="V140" s="2818" t="n"/>
      <c r="W140" s="2821">
        <f>W165+W189+W213</f>
        <v/>
      </c>
      <c r="X140" s="2821" t="n"/>
      <c r="Y140" s="2821" t="n"/>
      <c r="Z140" s="2818" t="n"/>
      <c r="AA140" s="2821">
        <f>AA165+AA189+AA213</f>
        <v/>
      </c>
      <c r="AB140" s="2821" t="n"/>
      <c r="AC140" s="2821" t="n"/>
      <c r="AD140" s="2818" t="n"/>
      <c r="AE140" s="2821">
        <f>AE165+AE189+AE213</f>
        <v/>
      </c>
      <c r="AF140" s="2821" t="n"/>
      <c r="AG140" s="2821" t="n"/>
      <c r="AH140" s="2818" t="n"/>
      <c r="AI140" s="2821">
        <f>AI165+AI189+AI213</f>
        <v/>
      </c>
      <c r="AJ140" s="2821" t="n"/>
      <c r="AK140" s="2821" t="n"/>
      <c r="AL140" s="2822" t="n"/>
      <c r="AM140" s="2821">
        <f>AM165+AM189+AM213</f>
        <v/>
      </c>
      <c r="AN140" s="2821" t="n"/>
      <c r="AO140" s="2821" t="n"/>
      <c r="AP140" s="2822" t="n"/>
      <c r="AQ140" s="2821">
        <f>AQ165+AQ189+AQ213</f>
        <v/>
      </c>
      <c r="AR140" s="2821" t="n"/>
      <c r="AS140" s="2821" t="n"/>
      <c r="AT140" s="2822" t="n"/>
      <c r="AU140" s="2821">
        <f>AU165+AU189+AU213</f>
        <v/>
      </c>
      <c r="AV140" s="2821" t="n"/>
      <c r="AW140" s="2821" t="n"/>
      <c r="AX140" s="2822" t="n"/>
      <c r="AY140" s="2821">
        <f>SUM(B140:AV140)</f>
        <v/>
      </c>
      <c r="AZ140" s="2821" t="n"/>
      <c r="BA140" s="2821" t="n"/>
    </row>
    <row customFormat="1" r="141" s="2216" spans="1:55">
      <c r="A141" s="2826" t="s">
        <v>153</v>
      </c>
      <c r="B141" s="2822" t="n"/>
      <c r="C141" s="2821" t="n"/>
      <c r="D141" s="2821" t="n"/>
      <c r="E141" s="2821">
        <f>SUM(C123:C141)-SUM(D123:D141)</f>
        <v/>
      </c>
      <c r="F141" s="2822" t="n"/>
      <c r="G141" s="2821" t="n"/>
      <c r="H141" s="2821" t="n"/>
      <c r="I141" s="2821">
        <f>SUM(G123:G141)-SUM(H123:H141)</f>
        <v/>
      </c>
      <c r="J141" s="2822" t="n"/>
      <c r="K141" s="2821" t="n"/>
      <c r="L141" s="2821" t="n"/>
      <c r="M141" s="2821">
        <f>SUM(K123:K141)-SUM(L123:L141)</f>
        <v/>
      </c>
      <c r="N141" s="2818" t="n"/>
      <c r="O141" s="2821" t="n"/>
      <c r="P141" s="2821" t="n"/>
      <c r="Q141" s="2821">
        <f>SUM(O123:O141)-SUM(P123:P141)</f>
        <v/>
      </c>
      <c r="R141" s="2822" t="n"/>
      <c r="S141" s="2821" t="n"/>
      <c r="T141" s="2821" t="n"/>
      <c r="U141" s="2821">
        <f>SUM(S123:S141)-SUM(T123:T141)</f>
        <v/>
      </c>
      <c r="V141" s="2818" t="n"/>
      <c r="W141" s="2821" t="n"/>
      <c r="X141" s="2821" t="n"/>
      <c r="Y141" s="2821">
        <f>SUM(W123:W141)-SUM(X123:X141)</f>
        <v/>
      </c>
      <c r="Z141" s="2818" t="n"/>
      <c r="AA141" s="2821" t="n"/>
      <c r="AB141" s="2821" t="n"/>
      <c r="AC141" s="2821">
        <f>SUM(AA123:AA141)-SUM(AB123:AB141)</f>
        <v/>
      </c>
      <c r="AD141" s="2818" t="n"/>
      <c r="AE141" s="2821" t="n"/>
      <c r="AF141" s="2821" t="n"/>
      <c r="AG141" s="2821">
        <f>SUM(AE123:AE141)-SUM(AF123:AF141)</f>
        <v/>
      </c>
      <c r="AH141" s="2818" t="n"/>
      <c r="AI141" s="2821" t="n"/>
      <c r="AJ141" s="2821" t="n"/>
      <c r="AK141" s="2821">
        <f>SUM(AI123:AI141)-SUM(AJ123:AJ141)</f>
        <v/>
      </c>
      <c r="AL141" s="2822" t="n"/>
      <c r="AM141" s="2821" t="n"/>
      <c r="AN141" s="2821" t="n"/>
      <c r="AO141" s="2821">
        <f>SUM(AM123:AM141)-SUM(AN123:AN141)</f>
        <v/>
      </c>
      <c r="AP141" s="2822" t="n"/>
      <c r="AQ141" s="2821" t="n"/>
      <c r="AR141" s="2821" t="n"/>
      <c r="AS141" s="2821">
        <f>SUM(AQ123:AQ141)-SUM(AR123:AR141)</f>
        <v/>
      </c>
      <c r="AT141" s="2822" t="n"/>
      <c r="AU141" s="2821" t="n"/>
      <c r="AV141" s="2821" t="n"/>
      <c r="AW141" s="2821">
        <f>SUM(AU123:AU141)-SUM(AV123:AV141)</f>
        <v/>
      </c>
      <c r="AX141" s="2822" t="n"/>
      <c r="AY141" s="2821" t="n"/>
      <c r="AZ141" s="2821" t="n"/>
      <c r="BA141" s="2821">
        <f>SUM(D141:AY141)</f>
        <v/>
      </c>
    </row>
    <row customFormat="1" r="142" s="2802" spans="1:55">
      <c r="A142" s="2827" t="s">
        <v>173</v>
      </c>
      <c r="B142" s="2828" t="n"/>
      <c r="C142" s="2829">
        <f>SUM(C123:C141)</f>
        <v/>
      </c>
      <c r="D142" s="2829">
        <f>SUM(D123:D141)</f>
        <v/>
      </c>
      <c r="E142" s="2829">
        <f>SUM(E141:E141)</f>
        <v/>
      </c>
      <c r="F142" s="2828" t="n"/>
      <c r="G142" s="2829">
        <f>SUM(G123:G141)</f>
        <v/>
      </c>
      <c r="H142" s="2829">
        <f>SUM(H123:H141)</f>
        <v/>
      </c>
      <c r="I142" s="2829">
        <f>SUM(I141:I141)</f>
        <v/>
      </c>
      <c r="J142" s="2828" t="n"/>
      <c r="K142" s="2829">
        <f>SUM(K123:K141)</f>
        <v/>
      </c>
      <c r="L142" s="2829">
        <f>SUM(L123:L141)</f>
        <v/>
      </c>
      <c r="M142" s="2829">
        <f>SUM(M141:M141)</f>
        <v/>
      </c>
      <c r="N142" s="2830" t="n"/>
      <c r="O142" s="2829">
        <f>SUM(O123:O141)</f>
        <v/>
      </c>
      <c r="P142" s="2829">
        <f>SUM(P123:P141)</f>
        <v/>
      </c>
      <c r="Q142" s="2829">
        <f>SUM(Q141:Q141)</f>
        <v/>
      </c>
      <c r="R142" s="2828" t="n"/>
      <c r="S142" s="2829">
        <f>SUM(S123:S141)</f>
        <v/>
      </c>
      <c r="T142" s="2829">
        <f>SUM(T123:T141)</f>
        <v/>
      </c>
      <c r="U142" s="2829">
        <f>SUM(U141:U141)</f>
        <v/>
      </c>
      <c r="V142" s="2830" t="n"/>
      <c r="W142" s="2829">
        <f>SUM(W123:W141)</f>
        <v/>
      </c>
      <c r="X142" s="2829">
        <f>SUM(X123:X141)</f>
        <v/>
      </c>
      <c r="Y142" s="2829">
        <f>SUM(Y141:Y141)</f>
        <v/>
      </c>
      <c r="Z142" s="2830" t="n"/>
      <c r="AA142" s="2829">
        <f>SUM(AA123:AA141)</f>
        <v/>
      </c>
      <c r="AB142" s="2829">
        <f>SUM(AB123:AB141)</f>
        <v/>
      </c>
      <c r="AC142" s="2829">
        <f>SUM(AC141:AC141)</f>
        <v/>
      </c>
      <c r="AD142" s="2830" t="n"/>
      <c r="AE142" s="2829">
        <f>SUM(AE123:AE141)</f>
        <v/>
      </c>
      <c r="AF142" s="2829">
        <f>SUM(AF123:AF141)</f>
        <v/>
      </c>
      <c r="AG142" s="2829">
        <f>SUM(AG141:AG141)</f>
        <v/>
      </c>
      <c r="AH142" s="2830" t="n"/>
      <c r="AI142" s="2829">
        <f>SUM(AI123:AI141)</f>
        <v/>
      </c>
      <c r="AJ142" s="2829">
        <f>SUM(AJ123:AJ141)</f>
        <v/>
      </c>
      <c r="AK142" s="2829">
        <f>SUM(AK141:AK141)</f>
        <v/>
      </c>
      <c r="AL142" s="2828" t="n"/>
      <c r="AM142" s="2829">
        <f>SUM(AM123:AM141)</f>
        <v/>
      </c>
      <c r="AN142" s="2829">
        <f>SUM(AN123:AN141)</f>
        <v/>
      </c>
      <c r="AO142" s="2829">
        <f>SUM(AO141:AO141)</f>
        <v/>
      </c>
      <c r="AP142" s="2828" t="n"/>
      <c r="AQ142" s="2829">
        <f>SUM(AQ123:AQ141)</f>
        <v/>
      </c>
      <c r="AR142" s="2829">
        <f>SUM(AR123:AR141)</f>
        <v/>
      </c>
      <c r="AS142" s="2829">
        <f>SUM(AS141:AS141)</f>
        <v/>
      </c>
      <c r="AT142" s="2828" t="n"/>
      <c r="AU142" s="2829">
        <f>SUM(AU123:AU141)</f>
        <v/>
      </c>
      <c r="AV142" s="2829">
        <f>SUM(AV123:AV141)</f>
        <v/>
      </c>
      <c r="AW142" s="2829">
        <f>SUM(AW141:AW141)</f>
        <v/>
      </c>
      <c r="AX142" s="2828" t="n"/>
      <c r="AY142" s="2827">
        <f>SUM(AY123:AY141)</f>
        <v/>
      </c>
      <c r="AZ142" s="2827">
        <f>SUM(AZ123:AZ141)</f>
        <v/>
      </c>
      <c r="BA142" s="2827">
        <f>SUM(BA141:BA141)</f>
        <v/>
      </c>
    </row>
    <row customFormat="1" r="143" s="2808" spans="1:55">
      <c r="A143" s="2827" t="s">
        <v>375</v>
      </c>
      <c r="B143" s="2828" t="n"/>
      <c r="C143" s="2831" t="n"/>
      <c r="D143" s="2829" t="n"/>
      <c r="E143" s="2832">
        <f>E142/C142</f>
        <v/>
      </c>
      <c r="F143" s="2828" t="n"/>
      <c r="G143" s="2829" t="n"/>
      <c r="H143" s="2829" t="n"/>
      <c r="I143" s="2832">
        <f>I142/G142</f>
        <v/>
      </c>
      <c r="J143" s="2828" t="n"/>
      <c r="K143" s="2829" t="n"/>
      <c r="L143" s="2829" t="n"/>
      <c r="M143" s="2832">
        <f>M142/K142</f>
        <v/>
      </c>
      <c r="N143" s="2833" t="n"/>
      <c r="O143" s="2829" t="n"/>
      <c r="P143" s="2829" t="n"/>
      <c r="Q143" s="2832">
        <f>Q142/O142</f>
        <v/>
      </c>
      <c r="R143" s="2828" t="n"/>
      <c r="S143" s="2829" t="n"/>
      <c r="T143" s="2829" t="n"/>
      <c r="U143" s="2832">
        <f>U142/S142</f>
        <v/>
      </c>
      <c r="V143" s="2833" t="n"/>
      <c r="W143" s="2829" t="n"/>
      <c r="X143" s="2829" t="n"/>
      <c r="Y143" s="2832">
        <f>Y142/W142</f>
        <v/>
      </c>
      <c r="Z143" s="2833" t="n"/>
      <c r="AA143" s="2829" t="n"/>
      <c r="AB143" s="2829" t="n"/>
      <c r="AC143" s="2832">
        <f>AC142/AA142</f>
        <v/>
      </c>
      <c r="AD143" s="2833" t="n"/>
      <c r="AE143" s="2829" t="n"/>
      <c r="AF143" s="2829" t="n"/>
      <c r="AG143" s="2832">
        <f>AG142/AE142</f>
        <v/>
      </c>
      <c r="AH143" s="2833" t="n"/>
      <c r="AI143" s="2829" t="n"/>
      <c r="AJ143" s="2829" t="n"/>
      <c r="AK143" s="2832">
        <f>AK142/AI142</f>
        <v/>
      </c>
      <c r="AL143" s="2828" t="n"/>
      <c r="AM143" s="2829" t="n"/>
      <c r="AN143" s="2829" t="n"/>
      <c r="AO143" s="2832">
        <f>AO142/AM142</f>
        <v/>
      </c>
      <c r="AP143" s="2828" t="n"/>
      <c r="AQ143" s="2829" t="n"/>
      <c r="AR143" s="2829" t="n"/>
      <c r="AS143" s="2832">
        <f>AS142/AQ142</f>
        <v/>
      </c>
      <c r="AT143" s="2828" t="n"/>
      <c r="AU143" s="2829" t="n"/>
      <c r="AV143" s="2829" t="n"/>
      <c r="AW143" s="2832">
        <f>AW142/AU142</f>
        <v/>
      </c>
      <c r="AX143" s="2828" t="n"/>
      <c r="AY143" s="2827" t="n"/>
      <c r="AZ143" s="2827" t="n"/>
      <c r="BA143" s="2832">
        <f>BA142/AY142</f>
        <v/>
      </c>
    </row>
    <row customFormat="1" r="144" s="2808" spans="1:55">
      <c r="A144" s="2851" t="n"/>
      <c r="B144" s="2806" t="n"/>
      <c r="C144" s="2835" t="n"/>
      <c r="E144" s="2836" t="n"/>
      <c r="F144" s="2806" t="n"/>
      <c r="I144" s="2836" t="n"/>
      <c r="J144" s="2806" t="n"/>
      <c r="M144" s="2836" t="n"/>
      <c r="Q144" s="2836" t="n"/>
      <c r="R144" s="2806" t="n"/>
      <c r="U144" s="2836" t="n"/>
      <c r="Y144" s="2836" t="n"/>
      <c r="AC144" s="2836" t="n"/>
      <c r="AG144" s="2836" t="n"/>
      <c r="AK144" s="2836" t="n"/>
      <c r="AL144" s="2806" t="n"/>
      <c r="AO144" s="2836" t="n"/>
      <c r="AP144" s="2806" t="n"/>
      <c r="AS144" s="2836" t="n"/>
      <c r="AT144" s="2806" t="n"/>
      <c r="AW144" s="2836" t="n"/>
      <c r="AX144" s="2806" t="n"/>
      <c r="AY144" s="2806" t="n"/>
      <c r="AZ144" s="2806" t="n"/>
      <c r="BA144" s="2836" t="n"/>
    </row>
    <row customFormat="1" r="145" s="2808" spans="1:55">
      <c r="A145" s="2851" t="n"/>
      <c r="B145" s="2806" t="n"/>
      <c r="C145" s="2835" t="n"/>
      <c r="E145" s="2836" t="n"/>
      <c r="F145" s="2806" t="n"/>
      <c r="I145" s="2836" t="n"/>
      <c r="J145" s="2806" t="n"/>
      <c r="M145" s="2836" t="n"/>
      <c r="Q145" s="2836" t="n"/>
      <c r="R145" s="2806" t="n"/>
      <c r="U145" s="2836" t="n"/>
      <c r="Y145" s="2836" t="n"/>
      <c r="AC145" s="2836" t="n"/>
      <c r="AG145" s="2836" t="n"/>
      <c r="AK145" s="2836" t="n"/>
      <c r="AL145" s="2806" t="n"/>
      <c r="AO145" s="2836" t="n"/>
      <c r="AP145" s="2806" t="n"/>
      <c r="AS145" s="2836" t="n"/>
      <c r="AT145" s="2806" t="n"/>
      <c r="AW145" s="2836" t="n"/>
      <c r="AX145" s="2806" t="n"/>
      <c r="AY145" s="2806" t="n"/>
      <c r="AZ145" s="2806" t="n"/>
      <c r="BA145" s="2836" t="n"/>
    </row>
    <row customFormat="1" outlineLevel="1" r="146" s="2808" spans="1:55">
      <c r="A146" s="2837" t="s">
        <v>381</v>
      </c>
      <c r="B146" s="2781" t="n"/>
      <c r="C146" s="2838" t="s">
        <v>62</v>
      </c>
      <c r="F146" s="2781" t="n"/>
      <c r="G146" s="2838" t="s">
        <v>63</v>
      </c>
      <c r="J146" s="2781" t="n"/>
      <c r="K146" s="2838" t="s">
        <v>64</v>
      </c>
      <c r="N146" s="2839" t="n"/>
      <c r="O146" s="2838" t="s">
        <v>174</v>
      </c>
      <c r="R146" s="2781" t="n"/>
      <c r="S146" s="2838" t="s">
        <v>66</v>
      </c>
      <c r="V146" s="2839" t="n"/>
      <c r="W146" s="2838" t="s">
        <v>67</v>
      </c>
      <c r="Z146" s="2839" t="n"/>
      <c r="AA146" s="2838" t="s">
        <v>69</v>
      </c>
      <c r="AD146" s="2839" t="n"/>
      <c r="AE146" s="2838" t="s">
        <v>70</v>
      </c>
      <c r="AH146" s="2839" t="n"/>
      <c r="AI146" s="2838" t="s">
        <v>71</v>
      </c>
      <c r="AL146" s="2781" t="n"/>
      <c r="AM146" s="2838" t="s">
        <v>72</v>
      </c>
      <c r="AP146" s="2781" t="n"/>
      <c r="AQ146" s="2838" t="s">
        <v>73</v>
      </c>
      <c r="AT146" s="2781" t="n"/>
      <c r="AU146" s="2838" t="s">
        <v>74</v>
      </c>
      <c r="AX146" s="2781" t="n"/>
      <c r="AY146" s="2838" t="s">
        <v>173</v>
      </c>
    </row>
    <row customFormat="1" outlineLevel="1" r="147" s="2808" spans="1:55">
      <c r="A147" s="2840" t="n"/>
      <c r="B147" s="2785" t="n"/>
      <c r="C147" s="2840" t="s">
        <v>89</v>
      </c>
      <c r="D147" s="2840" t="s">
        <v>152</v>
      </c>
      <c r="E147" s="2840" t="s">
        <v>153</v>
      </c>
      <c r="F147" s="2785" t="n"/>
      <c r="G147" s="2840" t="s">
        <v>89</v>
      </c>
      <c r="H147" s="2840" t="s">
        <v>152</v>
      </c>
      <c r="I147" s="2840" t="s">
        <v>153</v>
      </c>
      <c r="J147" s="2785" t="n"/>
      <c r="K147" s="2840" t="s">
        <v>89</v>
      </c>
      <c r="L147" s="2840" t="s">
        <v>152</v>
      </c>
      <c r="M147" s="2840" t="s">
        <v>153</v>
      </c>
      <c r="N147" s="2839" t="n"/>
      <c r="O147" s="2840" t="s">
        <v>89</v>
      </c>
      <c r="P147" s="2840" t="s">
        <v>152</v>
      </c>
      <c r="Q147" s="2840" t="s">
        <v>153</v>
      </c>
      <c r="R147" s="2785" t="n"/>
      <c r="S147" s="2840" t="s">
        <v>89</v>
      </c>
      <c r="T147" s="2840" t="s">
        <v>152</v>
      </c>
      <c r="U147" s="2840" t="s">
        <v>153</v>
      </c>
      <c r="V147" s="2839" t="n"/>
      <c r="W147" s="2840" t="s">
        <v>89</v>
      </c>
      <c r="X147" s="2840" t="s">
        <v>152</v>
      </c>
      <c r="Y147" s="2840" t="s">
        <v>153</v>
      </c>
      <c r="Z147" s="2839" t="n"/>
      <c r="AA147" s="2840" t="s">
        <v>89</v>
      </c>
      <c r="AB147" s="2840" t="s">
        <v>152</v>
      </c>
      <c r="AC147" s="2840" t="s">
        <v>153</v>
      </c>
      <c r="AD147" s="2839" t="n"/>
      <c r="AE147" s="2840" t="s">
        <v>89</v>
      </c>
      <c r="AF147" s="2840" t="s">
        <v>152</v>
      </c>
      <c r="AG147" s="2840" t="s">
        <v>153</v>
      </c>
      <c r="AH147" s="2839" t="n"/>
      <c r="AI147" s="2840" t="s">
        <v>89</v>
      </c>
      <c r="AJ147" s="2840" t="s">
        <v>152</v>
      </c>
      <c r="AK147" s="2840" t="s">
        <v>153</v>
      </c>
      <c r="AL147" s="2785" t="n"/>
      <c r="AM147" s="2840" t="s">
        <v>89</v>
      </c>
      <c r="AN147" s="2840" t="s">
        <v>152</v>
      </c>
      <c r="AO147" s="2840" t="s">
        <v>153</v>
      </c>
      <c r="AP147" s="2785" t="n"/>
      <c r="AQ147" s="2840" t="s">
        <v>89</v>
      </c>
      <c r="AR147" s="2840" t="s">
        <v>152</v>
      </c>
      <c r="AS147" s="2840" t="s">
        <v>153</v>
      </c>
      <c r="AT147" s="2785" t="n"/>
      <c r="AU147" s="2840" t="s">
        <v>89</v>
      </c>
      <c r="AV147" s="2840" t="s">
        <v>152</v>
      </c>
      <c r="AW147" s="2840" t="s">
        <v>153</v>
      </c>
      <c r="AX147" s="2785" t="n"/>
      <c r="AY147" s="2840" t="s">
        <v>89</v>
      </c>
      <c r="AZ147" s="2840" t="s">
        <v>152</v>
      </c>
      <c r="BA147" s="2840" t="s">
        <v>153</v>
      </c>
    </row>
    <row customFormat="1" outlineLevel="1" r="148" s="2808" spans="1:55">
      <c r="A148" s="2841" t="s">
        <v>187</v>
      </c>
      <c r="B148" s="2789" t="n"/>
      <c r="C148" s="2842" t="n"/>
      <c r="D148" s="2842">
        <f>' SET Cost(staf+OS)'!D209/1000</f>
        <v/>
      </c>
      <c r="E148" s="2842" t="n"/>
      <c r="F148" s="2789" t="n"/>
      <c r="G148" s="2842" t="n"/>
      <c r="H148" s="2842">
        <f>' SET Cost(staf+OS)'!E209/1000</f>
        <v/>
      </c>
      <c r="I148" s="2842" t="n"/>
      <c r="J148" s="2789" t="n"/>
      <c r="K148" s="2842" t="n"/>
      <c r="L148" s="2842">
        <f>' SET Cost(staf+OS)'!F209/1000</f>
        <v/>
      </c>
      <c r="M148" s="2842" t="n"/>
      <c r="N148" s="2799" t="n"/>
      <c r="O148" s="2842" t="n"/>
      <c r="P148" s="2842">
        <f>' SET Cost(staf+OS)'!G209/1000</f>
        <v/>
      </c>
      <c r="Q148" s="2842" t="n"/>
      <c r="R148" s="2789" t="n"/>
      <c r="S148" s="2842" t="n"/>
      <c r="T148" s="2842">
        <f>' SET Cost(staf+OS)'!H209/1000</f>
        <v/>
      </c>
      <c r="U148" s="2842" t="n"/>
      <c r="V148" s="2799" t="n"/>
      <c r="W148" s="2842" t="n"/>
      <c r="X148" s="2842">
        <f>' SET Cost(staf+OS)'!I209/1000</f>
        <v/>
      </c>
      <c r="Y148" s="2842" t="n"/>
      <c r="Z148" s="2799" t="n"/>
      <c r="AA148" s="2842" t="n"/>
      <c r="AB148" s="2842">
        <f>' SET Cost(staf+OS)'!J209/1000</f>
        <v/>
      </c>
      <c r="AC148" s="2842" t="n"/>
      <c r="AD148" s="2799" t="n"/>
      <c r="AE148" s="2842" t="n"/>
      <c r="AF148" s="2842">
        <f>' SET Cost(staf+OS)'!K209/1000</f>
        <v/>
      </c>
      <c r="AG148" s="2842" t="n"/>
      <c r="AH148" s="2799" t="n"/>
      <c r="AI148" s="2842" t="n"/>
      <c r="AJ148" s="2842">
        <f>' SET Cost(staf+OS)'!L209/1000</f>
        <v/>
      </c>
      <c r="AK148" s="2842" t="n"/>
      <c r="AL148" s="2789" t="n"/>
      <c r="AM148" s="2842" t="n"/>
      <c r="AN148" s="2842">
        <f>' SET Cost(staf+OS)'!M209/1000</f>
        <v/>
      </c>
      <c r="AO148" s="2842" t="n"/>
      <c r="AP148" s="2789" t="n"/>
      <c r="AQ148" s="2842" t="n"/>
      <c r="AR148" s="2842">
        <f>' SET Cost(staf+OS)'!N209/1000</f>
        <v/>
      </c>
      <c r="AS148" s="2842" t="n"/>
      <c r="AT148" s="2789" t="n"/>
      <c r="AU148" s="2842" t="n"/>
      <c r="AV148" s="2842">
        <f>' SET Cost(staf+OS)'!O209/1000</f>
        <v/>
      </c>
      <c r="AW148" s="2842" t="n"/>
      <c r="AX148" s="2789" t="n"/>
      <c r="AY148" s="2841" t="n"/>
      <c r="AZ148" s="2841">
        <f>SUM(C148:AW148)</f>
        <v/>
      </c>
      <c r="BA148" s="2841" t="n"/>
    </row>
    <row customFormat="1" outlineLevel="1" r="149" s="2808" spans="1:55">
      <c r="A149" s="2841" t="s">
        <v>189</v>
      </c>
      <c r="B149" s="2789" t="n"/>
      <c r="C149" s="2842" t="n"/>
      <c r="D149" s="2842">
        <f>' SET Cost(staf+OS)'!D210/1000</f>
        <v/>
      </c>
      <c r="E149" s="2842" t="n"/>
      <c r="F149" s="2789" t="n"/>
      <c r="G149" s="2842" t="n"/>
      <c r="H149" s="2842">
        <f>' SET Cost(staf+OS)'!E210/1000</f>
        <v/>
      </c>
      <c r="I149" s="2842" t="n"/>
      <c r="J149" s="2789" t="n"/>
      <c r="K149" s="2842" t="n"/>
      <c r="L149" s="2842">
        <f>' SET Cost(staf+OS)'!F210/1000</f>
        <v/>
      </c>
      <c r="M149" s="2842" t="n"/>
      <c r="N149" s="2799" t="n"/>
      <c r="O149" s="2842" t="n"/>
      <c r="P149" s="2842">
        <f>' SET Cost(staf+OS)'!G210/1000</f>
        <v/>
      </c>
      <c r="Q149" s="2842" t="n"/>
      <c r="R149" s="2789" t="n"/>
      <c r="S149" s="2842" t="n"/>
      <c r="T149" s="2842">
        <f>' SET Cost(staf+OS)'!H210/1000</f>
        <v/>
      </c>
      <c r="U149" s="2842" t="n"/>
      <c r="V149" s="2799" t="n"/>
      <c r="W149" s="2842" t="n"/>
      <c r="X149" s="2842">
        <f>' SET Cost(staf+OS)'!I210/1000</f>
        <v/>
      </c>
      <c r="Y149" s="2842" t="n"/>
      <c r="Z149" s="2799" t="n"/>
      <c r="AA149" s="2842" t="n"/>
      <c r="AB149" s="2842">
        <f>' SET Cost(staf+OS)'!J210/1000</f>
        <v/>
      </c>
      <c r="AC149" s="2842" t="n"/>
      <c r="AD149" s="2799" t="n"/>
      <c r="AE149" s="2842" t="n"/>
      <c r="AF149" s="2842">
        <f>' SET Cost(staf+OS)'!K210/1000</f>
        <v/>
      </c>
      <c r="AG149" s="2842" t="n"/>
      <c r="AH149" s="2799" t="n"/>
      <c r="AI149" s="2842" t="n"/>
      <c r="AJ149" s="2842">
        <f>' SET Cost(staf+OS)'!L210/1000</f>
        <v/>
      </c>
      <c r="AK149" s="2842" t="n"/>
      <c r="AL149" s="2789" t="n"/>
      <c r="AM149" s="2842" t="n"/>
      <c r="AN149" s="2842">
        <f>' SET Cost(staf+OS)'!M210/1000</f>
        <v/>
      </c>
      <c r="AO149" s="2842" t="n"/>
      <c r="AP149" s="2789" t="n"/>
      <c r="AQ149" s="2842" t="n"/>
      <c r="AR149" s="2842">
        <f>' SET Cost(staf+OS)'!N210/1000</f>
        <v/>
      </c>
      <c r="AS149" s="2842" t="n"/>
      <c r="AT149" s="2789" t="n"/>
      <c r="AU149" s="2842" t="n"/>
      <c r="AV149" s="2842">
        <f>' SET Cost(staf+OS)'!O210/1000</f>
        <v/>
      </c>
      <c r="AW149" s="2842" t="n"/>
      <c r="AX149" s="2789" t="n"/>
      <c r="AY149" s="2841" t="n"/>
      <c r="AZ149" s="2841">
        <f>SUM(C149:AW149)</f>
        <v/>
      </c>
      <c r="BA149" s="2841" t="n"/>
      <c r="BB149" s="2808" t="n"/>
    </row>
    <row customFormat="1" outlineLevel="1" r="150" s="2808" spans="1:55">
      <c r="A150" s="2841" t="s">
        <v>252</v>
      </c>
      <c r="B150" s="2789" t="n"/>
      <c r="C150" s="2842" t="n"/>
      <c r="D150" s="2842">
        <f>' SET Cost(staf+OS)'!D211/1000</f>
        <v/>
      </c>
      <c r="E150" s="2842" t="n"/>
      <c r="F150" s="2789" t="n"/>
      <c r="G150" s="2842" t="n"/>
      <c r="H150" s="2842">
        <f>' SET Cost(staf+OS)'!E211/1000</f>
        <v/>
      </c>
      <c r="I150" s="2842" t="n"/>
      <c r="J150" s="2789" t="n"/>
      <c r="K150" s="2842" t="n"/>
      <c r="L150" s="2842">
        <f>' SET Cost(staf+OS)'!F211/1000</f>
        <v/>
      </c>
      <c r="M150" s="2842" t="n"/>
      <c r="N150" s="2799" t="n"/>
      <c r="O150" s="2842" t="n"/>
      <c r="P150" s="2842">
        <f>' SET Cost(staf+OS)'!G211/1000</f>
        <v/>
      </c>
      <c r="Q150" s="2842" t="n"/>
      <c r="R150" s="2789" t="n"/>
      <c r="S150" s="2842" t="n"/>
      <c r="T150" s="2842">
        <f>' SET Cost(staf+OS)'!H211/1000</f>
        <v/>
      </c>
      <c r="U150" s="2842" t="n"/>
      <c r="V150" s="2799" t="n"/>
      <c r="W150" s="2842" t="n"/>
      <c r="X150" s="2842">
        <f>' SET Cost(staf+OS)'!I211/1000</f>
        <v/>
      </c>
      <c r="Y150" s="2842" t="n"/>
      <c r="Z150" s="2799" t="n"/>
      <c r="AA150" s="2842" t="n"/>
      <c r="AB150" s="2842">
        <f>' SET Cost(staf+OS)'!J211/1000</f>
        <v/>
      </c>
      <c r="AC150" s="2842" t="n"/>
      <c r="AD150" s="2799" t="n"/>
      <c r="AE150" s="2842" t="n"/>
      <c r="AF150" s="2842">
        <f>' SET Cost(staf+OS)'!K211/1000</f>
        <v/>
      </c>
      <c r="AG150" s="2842" t="n"/>
      <c r="AH150" s="2799" t="n"/>
      <c r="AI150" s="2842" t="n"/>
      <c r="AJ150" s="2842">
        <f>' SET Cost(staf+OS)'!L211/1000</f>
        <v/>
      </c>
      <c r="AK150" s="2842" t="n"/>
      <c r="AL150" s="2789" t="n"/>
      <c r="AM150" s="2842" t="n"/>
      <c r="AN150" s="2842">
        <f>' SET Cost(staf+OS)'!M211/1000</f>
        <v/>
      </c>
      <c r="AO150" s="2842" t="n"/>
      <c r="AP150" s="2789" t="n"/>
      <c r="AQ150" s="2842" t="n"/>
      <c r="AR150" s="2842">
        <f>' SET Cost(staf+OS)'!N211/1000</f>
        <v/>
      </c>
      <c r="AS150" s="2842" t="n"/>
      <c r="AT150" s="2789" t="n"/>
      <c r="AU150" s="2842" t="n"/>
      <c r="AV150" s="2842">
        <f>' SET Cost(staf+OS)'!O211/1000</f>
        <v/>
      </c>
      <c r="AW150" s="2842" t="n"/>
      <c r="AX150" s="2789" t="n"/>
      <c r="AY150" s="2841" t="n"/>
      <c r="AZ150" s="2841">
        <f>SUM(C150:AW150)</f>
        <v/>
      </c>
      <c r="BA150" s="2841" t="n"/>
      <c r="BB150" s="2808" t="n"/>
    </row>
    <row customFormat="1" outlineLevel="1" r="151" s="2808" spans="1:55">
      <c r="A151" s="2841" t="s">
        <v>191</v>
      </c>
      <c r="B151" s="2789" t="n"/>
      <c r="C151" s="2842" t="n"/>
      <c r="D151" s="2842">
        <f>' SET Cost(staf+OS)'!D212/1000</f>
        <v/>
      </c>
      <c r="E151" s="2842" t="n"/>
      <c r="F151" s="2789" t="n"/>
      <c r="G151" s="2842" t="n"/>
      <c r="H151" s="2842">
        <f>' SET Cost(staf+OS)'!E212/1000</f>
        <v/>
      </c>
      <c r="I151" s="2842" t="n"/>
      <c r="J151" s="2789" t="n"/>
      <c r="K151" s="2842" t="n"/>
      <c r="L151" s="2842">
        <f>' SET Cost(staf+OS)'!F212/1000</f>
        <v/>
      </c>
      <c r="M151" s="2842" t="n"/>
      <c r="N151" s="2799" t="n"/>
      <c r="O151" s="2842" t="n"/>
      <c r="P151" s="2842">
        <f>' SET Cost(staf+OS)'!G212/1000</f>
        <v/>
      </c>
      <c r="Q151" s="2842" t="n"/>
      <c r="R151" s="2789" t="n"/>
      <c r="S151" s="2842" t="n"/>
      <c r="T151" s="2842">
        <f>' SET Cost(staf+OS)'!H212/1000</f>
        <v/>
      </c>
      <c r="U151" s="2842" t="n"/>
      <c r="V151" s="2799" t="n"/>
      <c r="W151" s="2842" t="n"/>
      <c r="X151" s="2842">
        <f>' SET Cost(staf+OS)'!I212/1000</f>
        <v/>
      </c>
      <c r="Y151" s="2842" t="n"/>
      <c r="Z151" s="2799" t="n"/>
      <c r="AA151" s="2842" t="n"/>
      <c r="AB151" s="2842">
        <f>' SET Cost(staf+OS)'!J212/1000</f>
        <v/>
      </c>
      <c r="AC151" s="2842" t="n"/>
      <c r="AD151" s="2799" t="n"/>
      <c r="AE151" s="2842" t="n"/>
      <c r="AF151" s="2842">
        <f>' SET Cost(staf+OS)'!K212/1000</f>
        <v/>
      </c>
      <c r="AG151" s="2842" t="n"/>
      <c r="AH151" s="2799" t="n"/>
      <c r="AI151" s="2842" t="n"/>
      <c r="AJ151" s="2842">
        <f>' SET Cost(staf+OS)'!L212/1000</f>
        <v/>
      </c>
      <c r="AK151" s="2842" t="n"/>
      <c r="AL151" s="2789" t="n"/>
      <c r="AM151" s="2842" t="n"/>
      <c r="AN151" s="2842">
        <f>' SET Cost(staf+OS)'!M212/1000</f>
        <v/>
      </c>
      <c r="AO151" s="2842" t="n"/>
      <c r="AP151" s="2789" t="n"/>
      <c r="AQ151" s="2842" t="n"/>
      <c r="AR151" s="2842">
        <f>' SET Cost(staf+OS)'!N212/1000</f>
        <v/>
      </c>
      <c r="AS151" s="2842" t="n"/>
      <c r="AT151" s="2789" t="n"/>
      <c r="AU151" s="2842" t="n"/>
      <c r="AV151" s="2842">
        <f>' SET Cost(staf+OS)'!O212/1000</f>
        <v/>
      </c>
      <c r="AW151" s="2842" t="n"/>
      <c r="AX151" s="2789" t="n"/>
      <c r="AY151" s="2841" t="n"/>
      <c r="AZ151" s="2841">
        <f>SUM(C151:AW151)</f>
        <v/>
      </c>
      <c r="BA151" s="2841" t="n"/>
      <c r="BB151" s="2808" t="n"/>
    </row>
    <row customFormat="1" outlineLevel="1" r="152" s="2808" spans="1:55">
      <c r="A152" s="2841" t="s">
        <v>192</v>
      </c>
      <c r="B152" s="2789" t="n"/>
      <c r="C152" s="2842" t="n"/>
      <c r="D152" s="2842">
        <f>' SET Cost(staf+OS)'!D213/1000</f>
        <v/>
      </c>
      <c r="E152" s="2842" t="n"/>
      <c r="F152" s="2789" t="n"/>
      <c r="G152" s="2842" t="n"/>
      <c r="H152" s="2842">
        <f>' SET Cost(staf+OS)'!E213/1000</f>
        <v/>
      </c>
      <c r="I152" s="2842" t="n"/>
      <c r="J152" s="2789" t="n"/>
      <c r="K152" s="2842" t="n"/>
      <c r="L152" s="2842">
        <f>' SET Cost(staf+OS)'!F213/1000</f>
        <v/>
      </c>
      <c r="M152" s="2842" t="n"/>
      <c r="N152" s="2799" t="n"/>
      <c r="O152" s="2842" t="n"/>
      <c r="P152" s="2842">
        <f>' SET Cost(staf+OS)'!G213/1000</f>
        <v/>
      </c>
      <c r="Q152" s="2842" t="n"/>
      <c r="R152" s="2789" t="n"/>
      <c r="S152" s="2842" t="n"/>
      <c r="T152" s="2842">
        <f>' SET Cost(staf+OS)'!H213/1000</f>
        <v/>
      </c>
      <c r="U152" s="2842" t="n"/>
      <c r="V152" s="2799" t="n"/>
      <c r="W152" s="2842" t="n"/>
      <c r="X152" s="2842">
        <f>' SET Cost(staf+OS)'!I213/1000</f>
        <v/>
      </c>
      <c r="Y152" s="2842" t="n"/>
      <c r="Z152" s="2799" t="n"/>
      <c r="AA152" s="2842" t="n"/>
      <c r="AB152" s="2842">
        <f>' SET Cost(staf+OS)'!J213/1000</f>
        <v/>
      </c>
      <c r="AC152" s="2842" t="n"/>
      <c r="AD152" s="2799" t="n"/>
      <c r="AE152" s="2842" t="n"/>
      <c r="AF152" s="2842">
        <f>' SET Cost(staf+OS)'!K213/1000</f>
        <v/>
      </c>
      <c r="AG152" s="2842" t="n"/>
      <c r="AH152" s="2799" t="n"/>
      <c r="AI152" s="2842" t="n"/>
      <c r="AJ152" s="2842">
        <f>' SET Cost(staf+OS)'!L213/1000</f>
        <v/>
      </c>
      <c r="AK152" s="2842" t="n"/>
      <c r="AL152" s="2789" t="n"/>
      <c r="AM152" s="2842" t="n"/>
      <c r="AN152" s="2842">
        <f>' SET Cost(staf+OS)'!M213/1000</f>
        <v/>
      </c>
      <c r="AO152" s="2842" t="n"/>
      <c r="AP152" s="2789" t="n"/>
      <c r="AQ152" s="2842" t="n"/>
      <c r="AR152" s="2842">
        <f>' SET Cost(staf+OS)'!N213/1000</f>
        <v/>
      </c>
      <c r="AS152" s="2842" t="n"/>
      <c r="AT152" s="2789" t="n"/>
      <c r="AU152" s="2842" t="n"/>
      <c r="AV152" s="2842">
        <f>' SET Cost(staf+OS)'!O213/1000</f>
        <v/>
      </c>
      <c r="AW152" s="2842" t="n"/>
      <c r="AX152" s="2789" t="n"/>
      <c r="AY152" s="2841" t="n"/>
      <c r="AZ152" s="2841">
        <f>SUM(C152:AW152)</f>
        <v/>
      </c>
      <c r="BA152" s="2841" t="n"/>
      <c r="BB152" s="2808" t="n"/>
    </row>
    <row customFormat="1" outlineLevel="1" r="153" s="2808" spans="1:55">
      <c r="A153" s="2841" t="s">
        <v>194</v>
      </c>
      <c r="B153" s="2789" t="n"/>
      <c r="C153" s="2842" t="n"/>
      <c r="D153" s="2842">
        <f>' SET Cost(staf+OS)'!D214/1000+'OS&amp;Travel Exp'!C52/1000</f>
        <v/>
      </c>
      <c r="E153" s="2842" t="n"/>
      <c r="F153" s="2789" t="n"/>
      <c r="G153" s="2842" t="n"/>
      <c r="H153" s="2842">
        <f>' SET Cost(staf+OS)'!E214/1000+'OS&amp;Travel Exp'!D52/1000</f>
        <v/>
      </c>
      <c r="I153" s="2842" t="n"/>
      <c r="J153" s="2789" t="n"/>
      <c r="K153" s="2842" t="n"/>
      <c r="L153" s="2842">
        <f>' SET Cost(staf+OS)'!F214/1000+'OS&amp;Travel Exp'!E52/1000</f>
        <v/>
      </c>
      <c r="M153" s="2842" t="n"/>
      <c r="N153" s="2799" t="n"/>
      <c r="O153" s="2842" t="n"/>
      <c r="P153" s="2842" t="n">
        <v>0</v>
      </c>
      <c r="Q153" s="2842" t="n"/>
      <c r="R153" s="2789" t="n"/>
      <c r="S153" s="2842" t="n"/>
      <c r="T153" s="2842">
        <f>' SET Cost(staf+OS)'!H214/1000+'OS&amp;Travel Exp'!G52/1000</f>
        <v/>
      </c>
      <c r="U153" s="2842" t="n"/>
      <c r="V153" s="2799" t="n"/>
      <c r="W153" s="2842" t="n"/>
      <c r="X153" s="2842">
        <f>' SET Cost(staf+OS)'!I214/1000+'OS&amp;Travel Exp'!H52/1000</f>
        <v/>
      </c>
      <c r="Y153" s="2842" t="n"/>
      <c r="Z153" s="2799" t="n"/>
      <c r="AA153" s="2842" t="n"/>
      <c r="AB153" s="2842">
        <f>' SET Cost(staf+OS)'!J214/1000+'OS&amp;Travel Exp'!I52/1000</f>
        <v/>
      </c>
      <c r="AC153" s="2842" t="n"/>
      <c r="AD153" s="2799" t="n"/>
      <c r="AE153" s="2842" t="n"/>
      <c r="AF153" s="2842">
        <f>' SET Cost(staf+OS)'!K214/1000+'OS&amp;Travel Exp'!J52/1000</f>
        <v/>
      </c>
      <c r="AG153" s="2842" t="n"/>
      <c r="AH153" s="2799" t="n"/>
      <c r="AI153" s="2842" t="n"/>
      <c r="AJ153" s="2842">
        <f>' SET Cost(staf+OS)'!L214/1000+'OS&amp;Travel Exp'!K52/1000</f>
        <v/>
      </c>
      <c r="AK153" s="2842" t="n"/>
      <c r="AL153" s="2789" t="n"/>
      <c r="AM153" s="2842" t="n"/>
      <c r="AN153" s="2842">
        <f>' SET Cost(staf+OS)'!M214/1000+'OS&amp;Travel Exp'!L52/1000</f>
        <v/>
      </c>
      <c r="AO153" s="2842" t="n"/>
      <c r="AP153" s="2789" t="n"/>
      <c r="AQ153" s="2842" t="n"/>
      <c r="AR153" s="2842">
        <f>' SET Cost(staf+OS)'!N214/1000+'OS&amp;Travel Exp'!M52/1000</f>
        <v/>
      </c>
      <c r="AS153" s="2842" t="n"/>
      <c r="AT153" s="2789" t="n"/>
      <c r="AU153" s="2842" t="n"/>
      <c r="AV153" s="2842">
        <f>' SET Cost(staf+OS)'!O214/1000+'OS&amp;Travel Exp'!N52/1000</f>
        <v/>
      </c>
      <c r="AW153" s="2842" t="n"/>
      <c r="AX153" s="2789" t="n"/>
      <c r="AY153" s="2841" t="n"/>
      <c r="AZ153" s="2841">
        <f>SUM(C153:AW153)</f>
        <v/>
      </c>
      <c r="BA153" s="2841" t="n"/>
      <c r="BB153" s="2808" t="n"/>
    </row>
    <row customFormat="1" outlineLevel="1" r="154" s="2808" spans="1:55">
      <c r="A154" s="2841" t="s">
        <v>195</v>
      </c>
      <c r="B154" s="2789" t="n"/>
      <c r="C154" s="2842" t="n"/>
      <c r="D154" s="2842">
        <f>' SET Cost(staf+OS)'!D215/1000+'OS&amp;Travel Exp'!C29/1000</f>
        <v/>
      </c>
      <c r="E154" s="2842" t="n"/>
      <c r="F154" s="2789" t="n"/>
      <c r="G154" s="2842" t="n"/>
      <c r="H154" s="2842">
        <f>' SET Cost(staf+OS)'!E215/1000+'OS&amp;Travel Exp'!D29/1000</f>
        <v/>
      </c>
      <c r="I154" s="2842" t="n"/>
      <c r="J154" s="2789" t="n"/>
      <c r="K154" s="2842" t="n"/>
      <c r="L154" s="2842">
        <f>' SET Cost(staf+OS)'!F215/1000+'OS&amp;Travel Exp'!E29/1000</f>
        <v/>
      </c>
      <c r="M154" s="2842" t="n"/>
      <c r="N154" s="2799" t="n"/>
      <c r="O154" s="2842" t="n"/>
      <c r="P154" s="2842">
        <f>' SET Cost(staf+OS)'!G215/1000+'OS&amp;Travel Exp'!F29/1000</f>
        <v/>
      </c>
      <c r="Q154" s="2842" t="n"/>
      <c r="R154" s="2789" t="n"/>
      <c r="S154" s="2842" t="n"/>
      <c r="T154" s="2842">
        <f>' SET Cost(staf+OS)'!H215/1000+'OS&amp;Travel Exp'!G29/1000</f>
        <v/>
      </c>
      <c r="U154" s="2842" t="n"/>
      <c r="V154" s="2799" t="n"/>
      <c r="W154" s="2842" t="n"/>
      <c r="X154" s="2842">
        <f>' SET Cost(staf+OS)'!I215/1000+'OS&amp;Travel Exp'!H29/1000</f>
        <v/>
      </c>
      <c r="Y154" s="2842" t="n"/>
      <c r="Z154" s="2799" t="n"/>
      <c r="AA154" s="2842" t="n"/>
      <c r="AB154" s="2842">
        <f>' SET Cost(staf+OS)'!J215/1000+'OS&amp;Travel Exp'!I29/1000</f>
        <v/>
      </c>
      <c r="AC154" s="2842" t="n"/>
      <c r="AD154" s="2799" t="n"/>
      <c r="AE154" s="2842" t="n"/>
      <c r="AF154" s="2842">
        <f>' SET Cost(staf+OS)'!K215/1000+'OS&amp;Travel Exp'!J29/1000</f>
        <v/>
      </c>
      <c r="AG154" s="2842" t="n"/>
      <c r="AH154" s="2799" t="n"/>
      <c r="AI154" s="2842" t="n"/>
      <c r="AJ154" s="2842">
        <f>' SET Cost(staf+OS)'!L215/1000+'OS&amp;Travel Exp'!K29/1000</f>
        <v/>
      </c>
      <c r="AK154" s="2842" t="n"/>
      <c r="AL154" s="2789" t="n"/>
      <c r="AM154" s="2842" t="n"/>
      <c r="AN154" s="2842">
        <f>' SET Cost(staf+OS)'!M215/1000+'OS&amp;Travel Exp'!L29/1000</f>
        <v/>
      </c>
      <c r="AO154" s="2842" t="n"/>
      <c r="AP154" s="2789" t="n"/>
      <c r="AQ154" s="2842" t="n"/>
      <c r="AR154" s="2842">
        <f>' SET Cost(staf+OS)'!N215/1000+'OS&amp;Travel Exp'!M29/1000</f>
        <v/>
      </c>
      <c r="AS154" s="2842" t="n"/>
      <c r="AT154" s="2789" t="n"/>
      <c r="AU154" s="2842" t="n"/>
      <c r="AV154" s="2842">
        <f>' SET Cost(staf+OS)'!O215/1000+'OS&amp;Travel Exp'!N29/1000</f>
        <v/>
      </c>
      <c r="AW154" s="2842" t="n"/>
      <c r="AX154" s="2789" t="n"/>
      <c r="AY154" s="2841" t="n"/>
      <c r="AZ154" s="2841">
        <f>SUM(C154:AW154)</f>
        <v/>
      </c>
      <c r="BA154" s="2841" t="n"/>
      <c r="BB154" s="2808" t="n"/>
    </row>
    <row customFormat="1" outlineLevel="1" r="155" s="2808" spans="1:55">
      <c r="A155" s="2843" t="s">
        <v>366</v>
      </c>
      <c r="B155" s="2793" t="n"/>
      <c r="C155" s="2844" t="n"/>
      <c r="D155" s="2844">
        <f>'OS&amp;Travel Exp'!C4</f>
        <v/>
      </c>
      <c r="E155" s="2844" t="n"/>
      <c r="F155" s="2793" t="n"/>
      <c r="G155" s="2844" t="n"/>
      <c r="H155" s="2844">
        <f>'OS&amp;Travel Exp'!D4</f>
        <v/>
      </c>
      <c r="I155" s="2844" t="n"/>
      <c r="J155" s="2793" t="n"/>
      <c r="K155" s="2844" t="n"/>
      <c r="L155" s="2844">
        <f>'OS&amp;Travel Exp'!E4</f>
        <v/>
      </c>
      <c r="M155" s="2844" t="n"/>
      <c r="N155" s="2795" t="n"/>
      <c r="O155" s="2844" t="n"/>
      <c r="P155" s="2844">
        <f>'OS&amp;Travel Exp'!F4</f>
        <v/>
      </c>
      <c r="Q155" s="2844" t="n"/>
      <c r="R155" s="2793" t="n"/>
      <c r="S155" s="2844" t="n"/>
      <c r="T155" s="2844">
        <f>'OS&amp;Travel Exp'!G4</f>
        <v/>
      </c>
      <c r="U155" s="2844" t="n"/>
      <c r="V155" s="2795" t="n"/>
      <c r="W155" s="2844" t="n"/>
      <c r="X155" s="2844">
        <f>'OS&amp;Travel Exp'!H4</f>
        <v/>
      </c>
      <c r="Y155" s="2844" t="n"/>
      <c r="Z155" s="2795" t="n"/>
      <c r="AA155" s="2844" t="n"/>
      <c r="AB155" s="2844">
        <f>'OS&amp;Travel Exp'!I4</f>
        <v/>
      </c>
      <c r="AC155" s="2844" t="n"/>
      <c r="AD155" s="2795" t="n"/>
      <c r="AE155" s="2844" t="n"/>
      <c r="AF155" s="2844">
        <f>'OS&amp;Travel Exp'!J4</f>
        <v/>
      </c>
      <c r="AG155" s="2844" t="n"/>
      <c r="AH155" s="2795" t="n"/>
      <c r="AI155" s="2844" t="n"/>
      <c r="AJ155" s="2844">
        <f>'OS&amp;Travel Exp'!K4</f>
        <v/>
      </c>
      <c r="AK155" s="2844" t="n"/>
      <c r="AL155" s="2793" t="n"/>
      <c r="AM155" s="2844" t="n"/>
      <c r="AN155" s="2844">
        <f>'OS&amp;Travel Exp'!L4</f>
        <v/>
      </c>
      <c r="AO155" s="2844" t="n"/>
      <c r="AP155" s="2793" t="n"/>
      <c r="AQ155" s="2844" t="n"/>
      <c r="AR155" s="2844">
        <f>'OS&amp;Travel Exp'!M4</f>
        <v/>
      </c>
      <c r="AS155" s="2844" t="n"/>
      <c r="AT155" s="2793" t="n"/>
      <c r="AU155" s="2844" t="n"/>
      <c r="AV155" s="2844">
        <f>'OS&amp;Travel Exp'!N4</f>
        <v/>
      </c>
      <c r="AW155" s="2844" t="n"/>
      <c r="AX155" s="2793" t="n"/>
      <c r="AY155" s="2843" t="n"/>
      <c r="AZ155" s="2843">
        <f>SUM(C155:AW155)</f>
        <v/>
      </c>
      <c r="BA155" s="2843" t="n"/>
    </row>
    <row customFormat="1" outlineLevel="1" r="156" s="2808" spans="1:55">
      <c r="A156" s="2841" t="s">
        <v>161</v>
      </c>
      <c r="B156" s="2789" t="n"/>
      <c r="C156" s="2842" t="n"/>
      <c r="D156" s="2842">
        <f>' SET Cost(staf+OS)'!D217/1000</f>
        <v/>
      </c>
      <c r="E156" s="2842" t="n"/>
      <c r="F156" s="2789" t="n"/>
      <c r="G156" s="2842" t="n"/>
      <c r="H156" s="2842">
        <f>' SET Cost(staf+OS)'!E217/1000</f>
        <v/>
      </c>
      <c r="I156" s="2842" t="n"/>
      <c r="J156" s="2789" t="n"/>
      <c r="K156" s="2842" t="n"/>
      <c r="L156" s="2842">
        <f>' SET Cost(staf+OS)'!F217/1000</f>
        <v/>
      </c>
      <c r="M156" s="2842" t="n"/>
      <c r="N156" s="2799" t="n"/>
      <c r="O156" s="2842" t="n"/>
      <c r="P156" s="2842">
        <f>' SET Cost(staf+OS)'!G217/1000</f>
        <v/>
      </c>
      <c r="Q156" s="2842" t="n"/>
      <c r="R156" s="2789" t="n"/>
      <c r="S156" s="2842" t="n"/>
      <c r="T156" s="2842">
        <f>' SET Cost(staf+OS)'!H217/1000</f>
        <v/>
      </c>
      <c r="U156" s="2842" t="n"/>
      <c r="V156" s="2799" t="n"/>
      <c r="W156" s="2842" t="n"/>
      <c r="X156" s="2842">
        <f>' SET Cost(staf+OS)'!I217/1000</f>
        <v/>
      </c>
      <c r="Y156" s="2842" t="n"/>
      <c r="Z156" s="2799" t="n"/>
      <c r="AA156" s="2842" t="n"/>
      <c r="AB156" s="2842">
        <f>' SET Cost(staf+OS)'!J217/1000</f>
        <v/>
      </c>
      <c r="AC156" s="2842" t="n"/>
      <c r="AD156" s="2799" t="n"/>
      <c r="AE156" s="2842" t="n"/>
      <c r="AF156" s="2842">
        <f>' SET Cost(staf+OS)'!K217/1000</f>
        <v/>
      </c>
      <c r="AG156" s="2842" t="n"/>
      <c r="AH156" s="2799" t="n"/>
      <c r="AI156" s="2842" t="n"/>
      <c r="AJ156" s="2842">
        <f>' SET Cost(staf+OS)'!L217/1000</f>
        <v/>
      </c>
      <c r="AK156" s="2842" t="n"/>
      <c r="AL156" s="2789" t="n"/>
      <c r="AM156" s="2842" t="n"/>
      <c r="AN156" s="2842">
        <f>' SET Cost(staf+OS)'!M217/1000</f>
        <v/>
      </c>
      <c r="AO156" s="2842" t="n"/>
      <c r="AP156" s="2789" t="n"/>
      <c r="AQ156" s="2842" t="n"/>
      <c r="AR156" s="2842">
        <f>' SET Cost(staf+OS)'!N217/1000</f>
        <v/>
      </c>
      <c r="AS156" s="2842" t="n"/>
      <c r="AT156" s="2789" t="n"/>
      <c r="AU156" s="2842" t="n"/>
      <c r="AV156" s="2842">
        <f>' SET Cost(staf+OS)'!O217/1000</f>
        <v/>
      </c>
      <c r="AW156" s="2842" t="n"/>
      <c r="AX156" s="2789" t="n"/>
      <c r="AY156" s="2841" t="n"/>
      <c r="AZ156" s="2841">
        <f>SUM(C156:AW156)</f>
        <v/>
      </c>
      <c r="BA156" s="2841" t="n"/>
      <c r="BB156" s="2808" t="n"/>
    </row>
    <row customFormat="1" outlineLevel="1" r="157" s="2808" spans="1:55">
      <c r="A157" s="2845" t="s">
        <v>367</v>
      </c>
      <c r="B157" s="2789" t="n"/>
      <c r="C157" s="2842" t="n"/>
      <c r="D157" s="2842">
        <f>' SET Cost(staf+OS)'!D218/1000</f>
        <v/>
      </c>
      <c r="E157" s="2842" t="n"/>
      <c r="F157" s="2789" t="n"/>
      <c r="G157" s="2842" t="n"/>
      <c r="H157" s="2842">
        <f>' SET Cost(staf+OS)'!E218/1000</f>
        <v/>
      </c>
      <c r="I157" s="2842" t="n"/>
      <c r="J157" s="2789" t="n"/>
      <c r="K157" s="2842" t="n"/>
      <c r="L157" s="2842">
        <f>' SET Cost(staf+OS)'!F218/1000</f>
        <v/>
      </c>
      <c r="M157" s="2842" t="n"/>
      <c r="N157" s="2799" t="n"/>
      <c r="O157" s="2842" t="n"/>
      <c r="P157" s="2842">
        <f>' SET Cost(staf+OS)'!G218/1000</f>
        <v/>
      </c>
      <c r="Q157" s="2842" t="n"/>
      <c r="R157" s="2789" t="n"/>
      <c r="S157" s="2842" t="n"/>
      <c r="T157" s="2842">
        <f>' SET Cost(staf+OS)'!H218/1000</f>
        <v/>
      </c>
      <c r="U157" s="2842" t="n"/>
      <c r="V157" s="2799" t="n"/>
      <c r="W157" s="2842" t="n"/>
      <c r="X157" s="2842">
        <f>' SET Cost(staf+OS)'!I218/1000</f>
        <v/>
      </c>
      <c r="Y157" s="2842" t="n"/>
      <c r="Z157" s="2799" t="n"/>
      <c r="AA157" s="2842" t="n"/>
      <c r="AB157" s="2842">
        <f>' SET Cost(staf+OS)'!J218/1000</f>
        <v/>
      </c>
      <c r="AC157" s="2842" t="n"/>
      <c r="AD157" s="2799" t="n"/>
      <c r="AE157" s="2842" t="n"/>
      <c r="AF157" s="2842">
        <f>' SET Cost(staf+OS)'!K218/1000</f>
        <v/>
      </c>
      <c r="AG157" s="2842" t="n"/>
      <c r="AH157" s="2799" t="n"/>
      <c r="AI157" s="2842" t="n"/>
      <c r="AJ157" s="2842">
        <f>' SET Cost(staf+OS)'!L218/1000</f>
        <v/>
      </c>
      <c r="AK157" s="2842" t="n"/>
      <c r="AL157" s="2789" t="n"/>
      <c r="AM157" s="2842" t="n"/>
      <c r="AN157" s="2842">
        <f>' SET Cost(staf+OS)'!M218/1000</f>
        <v/>
      </c>
      <c r="AO157" s="2842" t="n"/>
      <c r="AP157" s="2789" t="n"/>
      <c r="AQ157" s="2842" t="n"/>
      <c r="AR157" s="2842">
        <f>' SET Cost(staf+OS)'!N218/1000</f>
        <v/>
      </c>
      <c r="AS157" s="2842" t="n"/>
      <c r="AT157" s="2789" t="n"/>
      <c r="AU157" s="2842" t="n"/>
      <c r="AV157" s="2842">
        <f>' SET Cost(staf+OS)'!O218/1000</f>
        <v/>
      </c>
      <c r="AW157" s="2842" t="n"/>
      <c r="AX157" s="2789" t="n"/>
      <c r="AY157" s="2841" t="n"/>
      <c r="AZ157" s="2841">
        <f>SUM(C157:AW157)</f>
        <v/>
      </c>
      <c r="BA157" s="2841" t="n"/>
      <c r="BB157" s="2808" t="n"/>
    </row>
    <row customFormat="1" outlineLevel="1" r="158" s="2808" spans="1:55">
      <c r="A158" s="2845" t="s">
        <v>232</v>
      </c>
      <c r="B158" s="2789" t="n"/>
      <c r="C158" s="2842" t="n"/>
      <c r="D158" s="2842">
        <f>' SET Cost(staf+OS)'!D219/1000</f>
        <v/>
      </c>
      <c r="E158" s="2842" t="n"/>
      <c r="F158" s="2789" t="n"/>
      <c r="G158" s="2842" t="n"/>
      <c r="H158" s="2842">
        <f>' SET Cost(staf+OS)'!E219/1000</f>
        <v/>
      </c>
      <c r="I158" s="2842" t="n"/>
      <c r="J158" s="2789" t="n"/>
      <c r="K158" s="2842" t="n"/>
      <c r="L158" s="2842">
        <f>' SET Cost(staf+OS)'!F219/1000</f>
        <v/>
      </c>
      <c r="M158" s="2842" t="n"/>
      <c r="N158" s="2799" t="n"/>
      <c r="O158" s="2842" t="n"/>
      <c r="P158" s="2842">
        <f>' SET Cost(staf+OS)'!G219/1000</f>
        <v/>
      </c>
      <c r="Q158" s="2842" t="n"/>
      <c r="R158" s="2789" t="n"/>
      <c r="S158" s="2842" t="n"/>
      <c r="T158" s="2842">
        <f>' SET Cost(staf+OS)'!H219/1000</f>
        <v/>
      </c>
      <c r="U158" s="2842" t="n"/>
      <c r="V158" s="2799" t="n"/>
      <c r="W158" s="2842" t="n"/>
      <c r="X158" s="2842">
        <f>' SET Cost(staf+OS)'!I219/1000</f>
        <v/>
      </c>
      <c r="Y158" s="2842" t="n"/>
      <c r="Z158" s="2799" t="n"/>
      <c r="AA158" s="2842" t="n"/>
      <c r="AB158" s="2842">
        <f>' SET Cost(staf+OS)'!J219/1000</f>
        <v/>
      </c>
      <c r="AC158" s="2842" t="n"/>
      <c r="AD158" s="2799" t="n"/>
      <c r="AE158" s="2842" t="n"/>
      <c r="AF158" s="2842">
        <f>' SET Cost(staf+OS)'!K219/1000</f>
        <v/>
      </c>
      <c r="AG158" s="2842" t="n"/>
      <c r="AH158" s="2799" t="n"/>
      <c r="AI158" s="2842" t="n"/>
      <c r="AJ158" s="2842">
        <f>' SET Cost(staf+OS)'!L219/1000</f>
        <v/>
      </c>
      <c r="AK158" s="2842" t="n"/>
      <c r="AL158" s="2789" t="n"/>
      <c r="AM158" s="2842" t="n"/>
      <c r="AN158" s="2842">
        <f>' SET Cost(staf+OS)'!M219/1000</f>
        <v/>
      </c>
      <c r="AO158" s="2842" t="n"/>
      <c r="AP158" s="2789" t="n"/>
      <c r="AQ158" s="2842" t="n"/>
      <c r="AR158" s="2842">
        <f>' SET Cost(staf+OS)'!N219/1000</f>
        <v/>
      </c>
      <c r="AS158" s="2842" t="n"/>
      <c r="AT158" s="2789" t="n"/>
      <c r="AU158" s="2842" t="n"/>
      <c r="AV158" s="2842">
        <f>' SET Cost(staf+OS)'!O219/1000</f>
        <v/>
      </c>
      <c r="AW158" s="2842" t="n"/>
      <c r="AX158" s="2789" t="n"/>
      <c r="AY158" s="2841" t="n"/>
      <c r="AZ158" s="2841">
        <f>SUM(C158:AW158)</f>
        <v/>
      </c>
      <c r="BA158" s="2841" t="n"/>
    </row>
    <row customFormat="1" outlineLevel="1" r="159" s="2808" spans="1:55">
      <c r="A159" s="2845" t="s">
        <v>233</v>
      </c>
      <c r="B159" s="2789" t="n"/>
      <c r="C159" s="2842" t="n"/>
      <c r="D159" s="2842">
        <f>' SET Cost(staf+OS)'!D220/1000</f>
        <v/>
      </c>
      <c r="E159" s="2842" t="n"/>
      <c r="F159" s="2789" t="n"/>
      <c r="G159" s="2842" t="n"/>
      <c r="H159" s="2842">
        <f>' SET Cost(staf+OS)'!E220/1000</f>
        <v/>
      </c>
      <c r="I159" s="2842" t="n"/>
      <c r="J159" s="2789" t="n"/>
      <c r="K159" s="2842" t="n"/>
      <c r="L159" s="2842">
        <f>' SET Cost(staf+OS)'!F220/1000</f>
        <v/>
      </c>
      <c r="M159" s="2842" t="n"/>
      <c r="N159" s="2799" t="n"/>
      <c r="O159" s="2842" t="n"/>
      <c r="P159" s="2842">
        <f>' SET Cost(staf+OS)'!G220/1000</f>
        <v/>
      </c>
      <c r="Q159" s="2842" t="n"/>
      <c r="R159" s="2789" t="n"/>
      <c r="S159" s="2842" t="n"/>
      <c r="T159" s="2842">
        <f>' SET Cost(staf+OS)'!H220/1000</f>
        <v/>
      </c>
      <c r="U159" s="2842" t="n"/>
      <c r="V159" s="2799" t="n"/>
      <c r="W159" s="2842" t="n"/>
      <c r="X159" s="2842">
        <f>' SET Cost(staf+OS)'!I220/1000</f>
        <v/>
      </c>
      <c r="Y159" s="2842" t="n"/>
      <c r="Z159" s="2799" t="n"/>
      <c r="AA159" s="2842" t="n"/>
      <c r="AB159" s="2842">
        <f>' SET Cost(staf+OS)'!J220/1000</f>
        <v/>
      </c>
      <c r="AC159" s="2842" t="n"/>
      <c r="AD159" s="2799" t="n"/>
      <c r="AE159" s="2842" t="n"/>
      <c r="AF159" s="2842">
        <f>' SET Cost(staf+OS)'!K220/1000</f>
        <v/>
      </c>
      <c r="AG159" s="2842" t="n"/>
      <c r="AH159" s="2799" t="n"/>
      <c r="AI159" s="2842" t="n"/>
      <c r="AJ159" s="2842">
        <f>' SET Cost(staf+OS)'!L220/1000</f>
        <v/>
      </c>
      <c r="AK159" s="2842" t="n"/>
      <c r="AL159" s="2789" t="n"/>
      <c r="AM159" s="2842" t="n"/>
      <c r="AN159" s="2842">
        <f>' SET Cost(staf+OS)'!M220/1000</f>
        <v/>
      </c>
      <c r="AO159" s="2842" t="n"/>
      <c r="AP159" s="2789" t="n"/>
      <c r="AQ159" s="2842" t="n"/>
      <c r="AR159" s="2842">
        <f>' SET Cost(staf+OS)'!N220/1000</f>
        <v/>
      </c>
      <c r="AS159" s="2842" t="n"/>
      <c r="AT159" s="2789" t="n"/>
      <c r="AU159" s="2842" t="n"/>
      <c r="AV159" s="2842">
        <f>' SET Cost(staf+OS)'!O220/1000</f>
        <v/>
      </c>
      <c r="AW159" s="2842" t="n"/>
      <c r="AX159" s="2789" t="n"/>
      <c r="AY159" s="2841" t="n"/>
      <c r="AZ159" s="2841">
        <f>SUM(C159:AW159)</f>
        <v/>
      </c>
      <c r="BA159" s="2841" t="n"/>
    </row>
    <row customFormat="1" outlineLevel="1" r="160" s="2808" spans="1:55">
      <c r="A160" s="2845" t="s">
        <v>368</v>
      </c>
      <c r="B160" s="2789" t="n"/>
      <c r="C160" s="2842" t="n"/>
      <c r="D160" s="2842">
        <f>' SET Cost(staf+OS)'!D221/1000</f>
        <v/>
      </c>
      <c r="E160" s="2842" t="n"/>
      <c r="F160" s="2789" t="n"/>
      <c r="G160" s="2842" t="n"/>
      <c r="H160" s="2842">
        <f>' SET Cost(staf+OS)'!E221/1000</f>
        <v/>
      </c>
      <c r="I160" s="2842" t="n"/>
      <c r="J160" s="2789" t="n"/>
      <c r="K160" s="2842" t="n"/>
      <c r="L160" s="2842">
        <f>' SET Cost(staf+OS)'!F221/1000</f>
        <v/>
      </c>
      <c r="M160" s="2842" t="n"/>
      <c r="N160" s="2799" t="n"/>
      <c r="O160" s="2842" t="n"/>
      <c r="P160" s="2842">
        <f>' SET Cost(staf+OS)'!G221/1000</f>
        <v/>
      </c>
      <c r="Q160" s="2842" t="n"/>
      <c r="R160" s="2789" t="n"/>
      <c r="S160" s="2842" t="n"/>
      <c r="T160" s="2842">
        <f>' SET Cost(staf+OS)'!H221/1000</f>
        <v/>
      </c>
      <c r="U160" s="2842" t="n"/>
      <c r="V160" s="2799" t="n"/>
      <c r="W160" s="2842" t="n"/>
      <c r="X160" s="2842">
        <f>' SET Cost(staf+OS)'!I221/1000</f>
        <v/>
      </c>
      <c r="Y160" s="2842" t="n"/>
      <c r="Z160" s="2799" t="n"/>
      <c r="AA160" s="2842" t="n"/>
      <c r="AB160" s="2842">
        <f>' SET Cost(staf+OS)'!J221/1000</f>
        <v/>
      </c>
      <c r="AC160" s="2842" t="n"/>
      <c r="AD160" s="2799" t="n"/>
      <c r="AE160" s="2842" t="n"/>
      <c r="AF160" s="2842">
        <f>' SET Cost(staf+OS)'!K221/1000</f>
        <v/>
      </c>
      <c r="AG160" s="2842" t="n"/>
      <c r="AH160" s="2799" t="n"/>
      <c r="AI160" s="2842" t="n"/>
      <c r="AJ160" s="2842">
        <f>' SET Cost(staf+OS)'!L221/1000</f>
        <v/>
      </c>
      <c r="AK160" s="2842" t="n"/>
      <c r="AL160" s="2789" t="n"/>
      <c r="AM160" s="2842" t="n"/>
      <c r="AN160" s="2842">
        <f>' SET Cost(staf+OS)'!M221/1000</f>
        <v/>
      </c>
      <c r="AO160" s="2842" t="n"/>
      <c r="AP160" s="2789" t="n"/>
      <c r="AQ160" s="2842" t="n"/>
      <c r="AR160" s="2842">
        <f>' SET Cost(staf+OS)'!N221/1000</f>
        <v/>
      </c>
      <c r="AS160" s="2842" t="n"/>
      <c r="AT160" s="2789" t="n"/>
      <c r="AU160" s="2842" t="n"/>
      <c r="AV160" s="2842">
        <f>' SET Cost(staf+OS)'!O221/1000</f>
        <v/>
      </c>
      <c r="AW160" s="2842" t="n"/>
      <c r="AX160" s="2789" t="n"/>
      <c r="AY160" s="2841" t="n"/>
      <c r="AZ160" s="2841">
        <f>SUM(C160:AW160)</f>
        <v/>
      </c>
      <c r="BA160" s="2841" t="n"/>
    </row>
    <row customFormat="1" outlineLevel="1" r="161" s="2808" spans="1:55">
      <c r="A161" s="2845" t="s">
        <v>369</v>
      </c>
      <c r="B161" s="2789" t="n"/>
      <c r="C161" s="2842" t="n"/>
      <c r="D161" s="2842">
        <f>' SET Cost(staf+OS)'!D222/1000</f>
        <v/>
      </c>
      <c r="E161" s="2842" t="n"/>
      <c r="F161" s="2789" t="n"/>
      <c r="G161" s="2842" t="n"/>
      <c r="H161" s="2842">
        <f>' SET Cost(staf+OS)'!E222/1000</f>
        <v/>
      </c>
      <c r="I161" s="2842" t="n"/>
      <c r="J161" s="2789" t="n"/>
      <c r="K161" s="2842" t="n"/>
      <c r="L161" s="2842">
        <f>' SET Cost(staf+OS)'!F222/1000</f>
        <v/>
      </c>
      <c r="M161" s="2842" t="n"/>
      <c r="N161" s="2799" t="n"/>
      <c r="O161" s="2842" t="n"/>
      <c r="P161" s="2842">
        <f>' SET Cost(staf+OS)'!G222/1000</f>
        <v/>
      </c>
      <c r="Q161" s="2842" t="n"/>
      <c r="R161" s="2789" t="n"/>
      <c r="S161" s="2842" t="n"/>
      <c r="T161" s="2842">
        <f>' SET Cost(staf+OS)'!H222/1000</f>
        <v/>
      </c>
      <c r="U161" s="2842" t="n"/>
      <c r="V161" s="2799" t="n"/>
      <c r="W161" s="2842" t="n"/>
      <c r="X161" s="2842">
        <f>' SET Cost(staf+OS)'!I222/1000</f>
        <v/>
      </c>
      <c r="Y161" s="2842" t="n"/>
      <c r="Z161" s="2799" t="n"/>
      <c r="AA161" s="2842" t="n"/>
      <c r="AB161" s="2842">
        <f>' SET Cost(staf+OS)'!J222/1000</f>
        <v/>
      </c>
      <c r="AC161" s="2842" t="n"/>
      <c r="AD161" s="2799" t="n"/>
      <c r="AE161" s="2842" t="n"/>
      <c r="AF161" s="2842">
        <f>' SET Cost(staf+OS)'!K222/1000</f>
        <v/>
      </c>
      <c r="AG161" s="2842" t="n"/>
      <c r="AH161" s="2799" t="n"/>
      <c r="AI161" s="2842" t="n"/>
      <c r="AJ161" s="2842">
        <f>' SET Cost(staf+OS)'!L222/1000</f>
        <v/>
      </c>
      <c r="AK161" s="2842" t="n"/>
      <c r="AL161" s="2789" t="n"/>
      <c r="AM161" s="2842" t="n"/>
      <c r="AN161" s="2842">
        <f>' SET Cost(staf+OS)'!M222/1000</f>
        <v/>
      </c>
      <c r="AO161" s="2842" t="n"/>
      <c r="AP161" s="2789" t="n"/>
      <c r="AQ161" s="2842" t="n"/>
      <c r="AR161" s="2842">
        <f>' SET Cost(staf+OS)'!N222/1000</f>
        <v/>
      </c>
      <c r="AS161" s="2842" t="n"/>
      <c r="AT161" s="2789" t="n"/>
      <c r="AU161" s="2842" t="n"/>
      <c r="AV161" s="2842">
        <f>' SET Cost(staf+OS)'!O222/1000</f>
        <v/>
      </c>
      <c r="AW161" s="2842" t="n"/>
      <c r="AX161" s="2789" t="n"/>
      <c r="AY161" s="2841" t="n"/>
      <c r="AZ161" s="2841">
        <f>SUM(C161:AW161)</f>
        <v/>
      </c>
      <c r="BA161" s="2841" t="n"/>
    </row>
    <row customFormat="1" outlineLevel="1" r="162" s="2808" spans="1:55">
      <c r="A162" s="2845" t="s">
        <v>370</v>
      </c>
      <c r="B162" s="2789" t="n"/>
      <c r="C162" s="2842" t="n"/>
      <c r="D162" s="2842">
        <f>' SET Cost(staf+OS)'!D223/1000</f>
        <v/>
      </c>
      <c r="E162" s="2842" t="n"/>
      <c r="F162" s="2789" t="n"/>
      <c r="G162" s="2842" t="n"/>
      <c r="H162" s="2842">
        <f>' SET Cost(staf+OS)'!E223/1000</f>
        <v/>
      </c>
      <c r="I162" s="2842" t="n"/>
      <c r="J162" s="2789" t="n"/>
      <c r="K162" s="2842" t="n"/>
      <c r="L162" s="2842">
        <f>' SET Cost(staf+OS)'!F223/1000</f>
        <v/>
      </c>
      <c r="M162" s="2842" t="n"/>
      <c r="N162" s="2799" t="n"/>
      <c r="O162" s="2842" t="n"/>
      <c r="P162" s="2842">
        <f>' SET Cost(staf+OS)'!G223/1000</f>
        <v/>
      </c>
      <c r="Q162" s="2842" t="n"/>
      <c r="R162" s="2789" t="n"/>
      <c r="S162" s="2842" t="n"/>
      <c r="T162" s="2842">
        <f>' SET Cost(staf+OS)'!H223/1000</f>
        <v/>
      </c>
      <c r="U162" s="2842" t="n"/>
      <c r="V162" s="2799" t="n"/>
      <c r="W162" s="2842" t="n"/>
      <c r="X162" s="2842">
        <f>' SET Cost(staf+OS)'!I223/1000</f>
        <v/>
      </c>
      <c r="Y162" s="2842" t="n"/>
      <c r="Z162" s="2799" t="n"/>
      <c r="AA162" s="2842" t="n"/>
      <c r="AB162" s="2842">
        <f>' SET Cost(staf+OS)'!J223/1000</f>
        <v/>
      </c>
      <c r="AC162" s="2842" t="n"/>
      <c r="AD162" s="2799" t="n"/>
      <c r="AE162" s="2842" t="n"/>
      <c r="AF162" s="2842">
        <f>' SET Cost(staf+OS)'!K223/1000</f>
        <v/>
      </c>
      <c r="AG162" s="2842" t="n"/>
      <c r="AH162" s="2799" t="n"/>
      <c r="AI162" s="2842" t="n"/>
      <c r="AJ162" s="2842">
        <f>' SET Cost(staf+OS)'!L223/1000</f>
        <v/>
      </c>
      <c r="AK162" s="2842" t="n"/>
      <c r="AL162" s="2789" t="n"/>
      <c r="AM162" s="2842" t="n"/>
      <c r="AN162" s="2842">
        <f>' SET Cost(staf+OS)'!M223/1000</f>
        <v/>
      </c>
      <c r="AO162" s="2842" t="n"/>
      <c r="AP162" s="2789" t="n"/>
      <c r="AQ162" s="2842" t="n"/>
      <c r="AR162" s="2842">
        <f>' SET Cost(staf+OS)'!N223/1000</f>
        <v/>
      </c>
      <c r="AS162" s="2842" t="n"/>
      <c r="AT162" s="2789" t="n"/>
      <c r="AU162" s="2842" t="n"/>
      <c r="AV162" s="2842">
        <f>' SET Cost(staf+OS)'!O223/1000</f>
        <v/>
      </c>
      <c r="AW162" s="2842" t="n"/>
      <c r="AX162" s="2789" t="n"/>
      <c r="AY162" s="2841" t="n"/>
      <c r="AZ162" s="2841">
        <f>SUM(C162:AW162)</f>
        <v/>
      </c>
      <c r="BA162" s="2841" t="n"/>
    </row>
    <row customFormat="1" outlineLevel="1" r="163" s="2808" spans="1:55">
      <c r="A163" s="2845" t="s">
        <v>371</v>
      </c>
      <c r="B163" s="2789" t="n"/>
      <c r="C163" s="2842" t="n"/>
      <c r="D163" s="2842">
        <f>' SET Cost(staf+OS)'!D224/1000</f>
        <v/>
      </c>
      <c r="E163" s="2842" t="n"/>
      <c r="F163" s="2789" t="n"/>
      <c r="G163" s="2842" t="n"/>
      <c r="H163" s="2842">
        <f>' SET Cost(staf+OS)'!E224/1000</f>
        <v/>
      </c>
      <c r="I163" s="2842" t="n"/>
      <c r="J163" s="2789" t="n"/>
      <c r="K163" s="2842" t="n"/>
      <c r="L163" s="2842">
        <f>' SET Cost(staf+OS)'!F224/1000</f>
        <v/>
      </c>
      <c r="M163" s="2842" t="n"/>
      <c r="N163" s="2799" t="n"/>
      <c r="O163" s="2842" t="n"/>
      <c r="P163" s="2842">
        <f>' SET Cost(staf+OS)'!G224/1000</f>
        <v/>
      </c>
      <c r="Q163" s="2842" t="n"/>
      <c r="R163" s="2789" t="n"/>
      <c r="S163" s="2842" t="n"/>
      <c r="T163" s="2842">
        <f>' SET Cost(staf+OS)'!H224/1000</f>
        <v/>
      </c>
      <c r="U163" s="2842" t="n"/>
      <c r="V163" s="2799" t="n"/>
      <c r="W163" s="2842" t="n"/>
      <c r="X163" s="2842">
        <f>' SET Cost(staf+OS)'!I224/1000</f>
        <v/>
      </c>
      <c r="Y163" s="2842" t="n"/>
      <c r="Z163" s="2799" t="n"/>
      <c r="AA163" s="2842" t="n"/>
      <c r="AB163" s="2842">
        <f>' SET Cost(staf+OS)'!J224/1000</f>
        <v/>
      </c>
      <c r="AC163" s="2842" t="n"/>
      <c r="AD163" s="2799" t="n"/>
      <c r="AE163" s="2842" t="n"/>
      <c r="AF163" s="2842">
        <f>' SET Cost(staf+OS)'!K224/1000</f>
        <v/>
      </c>
      <c r="AG163" s="2842" t="n"/>
      <c r="AH163" s="2799" t="n"/>
      <c r="AI163" s="2842" t="n"/>
      <c r="AJ163" s="2842">
        <f>' SET Cost(staf+OS)'!L224/1000</f>
        <v/>
      </c>
      <c r="AK163" s="2842" t="n"/>
      <c r="AL163" s="2789" t="n"/>
      <c r="AM163" s="2842" t="n"/>
      <c r="AN163" s="2842">
        <f>' SET Cost(staf+OS)'!M224/1000</f>
        <v/>
      </c>
      <c r="AO163" s="2842" t="n"/>
      <c r="AP163" s="2789" t="n"/>
      <c r="AQ163" s="2842" t="n"/>
      <c r="AR163" s="2842">
        <f>' SET Cost(staf+OS)'!N224/1000</f>
        <v/>
      </c>
      <c r="AS163" s="2842" t="n"/>
      <c r="AT163" s="2789" t="n"/>
      <c r="AU163" s="2842" t="n"/>
      <c r="AV163" s="2842">
        <f>' SET Cost(staf+OS)'!O224/1000</f>
        <v/>
      </c>
      <c r="AW163" s="2842" t="n"/>
      <c r="AX163" s="2789" t="n"/>
      <c r="AY163" s="2841" t="n"/>
      <c r="AZ163" s="2841">
        <f>SUM(C163:AW163)</f>
        <v/>
      </c>
      <c r="BA163" s="2841" t="n"/>
    </row>
    <row customFormat="1" outlineLevel="1" r="164" s="2808" spans="1:55">
      <c r="A164" s="2845" t="s">
        <v>372</v>
      </c>
      <c r="B164" s="2789" t="n"/>
      <c r="C164" s="2842" t="n"/>
      <c r="D164" s="2842">
        <f>' SET Cost(staf+OS)'!D225/1000</f>
        <v/>
      </c>
      <c r="E164" s="2842" t="n"/>
      <c r="F164" s="2789" t="n"/>
      <c r="G164" s="2842" t="n"/>
      <c r="H164" s="2842">
        <f>' SET Cost(staf+OS)'!E225/1000</f>
        <v/>
      </c>
      <c r="I164" s="2842" t="n"/>
      <c r="J164" s="2789" t="n"/>
      <c r="K164" s="2842" t="n"/>
      <c r="L164" s="2842">
        <f>' SET Cost(staf+OS)'!F225/1000</f>
        <v/>
      </c>
      <c r="M164" s="2842" t="n"/>
      <c r="N164" s="2799" t="n"/>
      <c r="O164" s="2842" t="n"/>
      <c r="P164" s="2842">
        <f>' SET Cost(staf+OS)'!G225/1000</f>
        <v/>
      </c>
      <c r="Q164" s="2842" t="n"/>
      <c r="R164" s="2789" t="n"/>
      <c r="S164" s="2842" t="n"/>
      <c r="T164" s="2842">
        <f>' SET Cost(staf+OS)'!H225/1000</f>
        <v/>
      </c>
      <c r="U164" s="2842" t="n"/>
      <c r="V164" s="2799" t="n"/>
      <c r="W164" s="2842" t="n"/>
      <c r="X164" s="2842">
        <f>' SET Cost(staf+OS)'!I225/1000</f>
        <v/>
      </c>
      <c r="Y164" s="2842" t="n"/>
      <c r="Z164" s="2799" t="n"/>
      <c r="AA164" s="2842" t="n"/>
      <c r="AB164" s="2842">
        <f>' SET Cost(staf+OS)'!J225/1000</f>
        <v/>
      </c>
      <c r="AC164" s="2842" t="n"/>
      <c r="AD164" s="2799" t="n"/>
      <c r="AE164" s="2842" t="n"/>
      <c r="AF164" s="2842">
        <f>' SET Cost(staf+OS)'!K225/1000</f>
        <v/>
      </c>
      <c r="AG164" s="2842" t="n"/>
      <c r="AH164" s="2799" t="n"/>
      <c r="AI164" s="2842" t="n"/>
      <c r="AJ164" s="2842">
        <f>' SET Cost(staf+OS)'!L225/1000</f>
        <v/>
      </c>
      <c r="AK164" s="2842" t="n"/>
      <c r="AL164" s="2789" t="n"/>
      <c r="AM164" s="2842" t="n"/>
      <c r="AN164" s="2842">
        <f>' SET Cost(staf+OS)'!M225/1000</f>
        <v/>
      </c>
      <c r="AO164" s="2842" t="n"/>
      <c r="AP164" s="2789" t="n"/>
      <c r="AQ164" s="2842" t="n"/>
      <c r="AR164" s="2842">
        <f>' SET Cost(staf+OS)'!N225/1000</f>
        <v/>
      </c>
      <c r="AS164" s="2842" t="n"/>
      <c r="AT164" s="2789" t="n"/>
      <c r="AU164" s="2842" t="n"/>
      <c r="AV164" s="2842">
        <f>' SET Cost(staf+OS)'!O225/1000</f>
        <v/>
      </c>
      <c r="AW164" s="2842" t="n"/>
      <c r="AX164" s="2789" t="n"/>
      <c r="AY164" s="2841" t="n"/>
      <c r="AZ164" s="2841">
        <f>SUM(C164:AW164)</f>
        <v/>
      </c>
      <c r="BA164" s="2841" t="n"/>
    </row>
    <row customFormat="1" outlineLevel="1" r="165" s="2808" spans="1:55">
      <c r="A165" s="2845" t="s">
        <v>89</v>
      </c>
      <c r="B165" s="2789" t="n"/>
      <c r="C165" s="2842">
        <f>'FY18 SET'!G19/1000</f>
        <v/>
      </c>
      <c r="D165" s="2842" t="n"/>
      <c r="E165" s="2842" t="n"/>
      <c r="F165" s="2789" t="n"/>
      <c r="G165" s="2842">
        <f>'FY18 SET'!H19/1000</f>
        <v/>
      </c>
      <c r="H165" s="2842" t="n"/>
      <c r="I165" s="2842" t="n"/>
      <c r="J165" s="2789" t="n"/>
      <c r="K165" s="2842">
        <f>'FY18 SET'!I19/1000</f>
        <v/>
      </c>
      <c r="L165" s="2842" t="n"/>
      <c r="M165" s="2842" t="n"/>
      <c r="N165" s="2799" t="n"/>
      <c r="O165" s="2842">
        <f>'FY18 SET'!J19/1000</f>
        <v/>
      </c>
      <c r="P165" s="2842" t="n"/>
      <c r="Q165" s="2842" t="n"/>
      <c r="R165" s="2789" t="n"/>
      <c r="S165" s="2842">
        <f>'FY18 SET'!K19/1000</f>
        <v/>
      </c>
      <c r="T165" s="2842" t="n"/>
      <c r="U165" s="2842" t="n"/>
      <c r="V165" s="2799" t="n"/>
      <c r="W165" s="2842">
        <f>'FY18 SET'!L19/1000</f>
        <v/>
      </c>
      <c r="X165" s="2842" t="n"/>
      <c r="Y165" s="2842" t="n"/>
      <c r="Z165" s="2799" t="n"/>
      <c r="AA165" s="2842">
        <f>'FY18 SET'!N19/1000</f>
        <v/>
      </c>
      <c r="AB165" s="2842" t="n"/>
      <c r="AC165" s="2842" t="n"/>
      <c r="AD165" s="2799" t="n"/>
      <c r="AE165" s="2842">
        <f>'FY18 SET'!O19/1000</f>
        <v/>
      </c>
      <c r="AF165" s="2842" t="n"/>
      <c r="AG165" s="2842" t="n"/>
      <c r="AH165" s="2799" t="n"/>
      <c r="AI165" s="2842">
        <f>'FY18 SET'!P19/1000</f>
        <v/>
      </c>
      <c r="AJ165" s="2842" t="n"/>
      <c r="AK165" s="2842" t="n"/>
      <c r="AL165" s="2789" t="n"/>
      <c r="AM165" s="2842">
        <f>'FY18 SET'!Q19/1000</f>
        <v/>
      </c>
      <c r="AN165" s="2842" t="n"/>
      <c r="AO165" s="2842" t="n"/>
      <c r="AP165" s="2789" t="n"/>
      <c r="AQ165" s="2842">
        <f>'FY18 SET'!R19/1000</f>
        <v/>
      </c>
      <c r="AR165" s="2842" t="n"/>
      <c r="AS165" s="2842" t="n"/>
      <c r="AT165" s="2789" t="n"/>
      <c r="AU165" s="2842">
        <f>'FY18 SET'!S19/1000</f>
        <v/>
      </c>
      <c r="AV165" s="2842" t="n"/>
      <c r="AW165" s="2842" t="n"/>
      <c r="AX165" s="2789" t="n"/>
      <c r="AY165" s="2841">
        <f>SUM(B165:AV165)</f>
        <v/>
      </c>
      <c r="AZ165" s="2841" t="n"/>
      <c r="BA165" s="2841" t="n"/>
    </row>
    <row customFormat="1" customHeight="1" ht="17.25" outlineLevel="1" r="166" s="2808" spans="1:55">
      <c r="A166" s="2845" t="s">
        <v>153</v>
      </c>
      <c r="B166" s="2789" t="n"/>
      <c r="C166" s="2841" t="n"/>
      <c r="D166" s="2841" t="n"/>
      <c r="E166" s="2841">
        <f>SUM(C148:C166)-SUM(D148:D166)</f>
        <v/>
      </c>
      <c r="F166" s="2789" t="n"/>
      <c r="G166" s="2841" t="n"/>
      <c r="H166" s="2841" t="n"/>
      <c r="I166" s="2841">
        <f>SUM(G148:G166)-SUM(H148:H166)</f>
        <v/>
      </c>
      <c r="J166" s="2789" t="n"/>
      <c r="K166" s="2841" t="n"/>
      <c r="L166" s="2841" t="n"/>
      <c r="M166" s="2841">
        <f>SUM(K148:K166)-SUM(L148:L166)</f>
        <v/>
      </c>
      <c r="N166" s="2839" t="n"/>
      <c r="O166" s="2841" t="n"/>
      <c r="P166" s="2841" t="n"/>
      <c r="Q166" s="2841">
        <f>SUM(O148:O166)-SUM(P148:P166)</f>
        <v/>
      </c>
      <c r="R166" s="2789" t="n"/>
      <c r="S166" s="2841" t="n"/>
      <c r="T166" s="2841" t="n"/>
      <c r="U166" s="2841">
        <f>SUM(S148:S166)-SUM(T148:T166)</f>
        <v/>
      </c>
      <c r="V166" s="2839" t="n"/>
      <c r="W166" s="2841" t="n"/>
      <c r="X166" s="2841" t="n"/>
      <c r="Y166" s="2841">
        <f>SUM(W148:W166)-SUM(X148:X166)</f>
        <v/>
      </c>
      <c r="Z166" s="2839" t="n"/>
      <c r="AA166" s="2841" t="n"/>
      <c r="AB166" s="2841" t="n"/>
      <c r="AC166" s="2841">
        <f>SUM(AA148:AA166)-SUM(AB148:AB166)</f>
        <v/>
      </c>
      <c r="AD166" s="2839" t="n"/>
      <c r="AE166" s="2841" t="n"/>
      <c r="AF166" s="2841" t="n"/>
      <c r="AG166" s="2841">
        <f>SUM(AE148:AE166)-SUM(AF148:AF166)</f>
        <v/>
      </c>
      <c r="AH166" s="2839" t="n"/>
      <c r="AI166" s="2841" t="n"/>
      <c r="AJ166" s="2841" t="n"/>
      <c r="AK166" s="2841">
        <f>SUM(AI148:AI166)-SUM(AJ148:AJ166)</f>
        <v/>
      </c>
      <c r="AL166" s="2789" t="n"/>
      <c r="AM166" s="2841" t="n"/>
      <c r="AN166" s="2841" t="n"/>
      <c r="AO166" s="2841">
        <f>SUM(AM148:AM166)-SUM(AN148:AN166)</f>
        <v/>
      </c>
      <c r="AP166" s="2789" t="n"/>
      <c r="AQ166" s="2841" t="n"/>
      <c r="AR166" s="2841" t="n"/>
      <c r="AS166" s="2841">
        <f>SUM(AQ148:AQ166)-SUM(AR148:AR166)</f>
        <v/>
      </c>
      <c r="AT166" s="2789" t="n"/>
      <c r="AU166" s="2841" t="n"/>
      <c r="AV166" s="2841" t="n"/>
      <c r="AW166" s="2841">
        <f>SUM(AU148:AU166)-SUM(AV148:AV166)</f>
        <v/>
      </c>
      <c r="AX166" s="2789" t="n"/>
      <c r="AY166" s="2841" t="n"/>
      <c r="AZ166" s="2841" t="n"/>
      <c r="BA166" s="2841">
        <f>SUM(D166:AY166)</f>
        <v/>
      </c>
    </row>
    <row customFormat="1" outlineLevel="1" r="167" s="2808" spans="1:55">
      <c r="A167" s="2847" t="s">
        <v>173</v>
      </c>
      <c r="B167" s="2806" t="n"/>
      <c r="C167" s="2848">
        <f>SUM(C148:C166)</f>
        <v/>
      </c>
      <c r="D167" s="2848">
        <f>SUM(D148:D166)</f>
        <v/>
      </c>
      <c r="E167" s="2848">
        <f>SUM(E166:E166)</f>
        <v/>
      </c>
      <c r="F167" s="2806" t="n"/>
      <c r="G167" s="2848">
        <f>SUM(G148:G166)</f>
        <v/>
      </c>
      <c r="H167" s="2848">
        <f>SUM(H148:H166)</f>
        <v/>
      </c>
      <c r="I167" s="2848">
        <f>SUM(I166:I166)</f>
        <v/>
      </c>
      <c r="J167" s="2806" t="n"/>
      <c r="K167" s="2848">
        <f>SUM(K148:K166)</f>
        <v/>
      </c>
      <c r="L167" s="2848">
        <f>SUM(L148:L166)</f>
        <v/>
      </c>
      <c r="M167" s="2848">
        <f>SUM(M166:M166)</f>
        <v/>
      </c>
      <c r="N167" s="2802" t="n"/>
      <c r="O167" s="2848">
        <f>SUM(O148:O166)</f>
        <v/>
      </c>
      <c r="P167" s="2848">
        <f>SUM(P148:P166)</f>
        <v/>
      </c>
      <c r="Q167" s="2848">
        <f>SUM(Q166:Q166)</f>
        <v/>
      </c>
      <c r="R167" s="2806" t="n"/>
      <c r="S167" s="2848">
        <f>SUM(S148:S166)</f>
        <v/>
      </c>
      <c r="T167" s="2848">
        <f>SUM(T148:T166)</f>
        <v/>
      </c>
      <c r="U167" s="2848">
        <f>SUM(U166:U166)</f>
        <v/>
      </c>
      <c r="V167" s="2802" t="n"/>
      <c r="W167" s="2848">
        <f>SUM(W148:W166)</f>
        <v/>
      </c>
      <c r="X167" s="2848">
        <f>SUM(X148:X166)</f>
        <v/>
      </c>
      <c r="Y167" s="2848">
        <f>SUM(Y166:Y166)</f>
        <v/>
      </c>
      <c r="Z167" s="2802" t="n"/>
      <c r="AA167" s="2848">
        <f>SUM(AA148:AA166)</f>
        <v/>
      </c>
      <c r="AB167" s="2848">
        <f>SUM(AB148:AB166)</f>
        <v/>
      </c>
      <c r="AC167" s="2848">
        <f>SUM(AC166:AC166)</f>
        <v/>
      </c>
      <c r="AD167" s="2802" t="n"/>
      <c r="AE167" s="2848">
        <f>SUM(AE148:AE166)</f>
        <v/>
      </c>
      <c r="AF167" s="2848">
        <f>SUM(AF148:AF166)</f>
        <v/>
      </c>
      <c r="AG167" s="2848">
        <f>SUM(AG166:AG166)</f>
        <v/>
      </c>
      <c r="AH167" s="2802" t="n"/>
      <c r="AI167" s="2848">
        <f>SUM(AI148:AI166)</f>
        <v/>
      </c>
      <c r="AJ167" s="2848">
        <f>SUM(AJ148:AJ166)</f>
        <v/>
      </c>
      <c r="AK167" s="2848">
        <f>SUM(AK166:AK166)</f>
        <v/>
      </c>
      <c r="AL167" s="2806" t="n"/>
      <c r="AM167" s="2848">
        <f>SUM(AM148:AM166)</f>
        <v/>
      </c>
      <c r="AN167" s="2848">
        <f>SUM(AN148:AN166)</f>
        <v/>
      </c>
      <c r="AO167" s="2848">
        <f>SUM(AO166:AO166)</f>
        <v/>
      </c>
      <c r="AP167" s="2806" t="n"/>
      <c r="AQ167" s="2848">
        <f>SUM(AQ148:AQ166)</f>
        <v/>
      </c>
      <c r="AR167" s="2848">
        <f>SUM(AR148:AR166)</f>
        <v/>
      </c>
      <c r="AS167" s="2848">
        <f>SUM(AS166:AS166)</f>
        <v/>
      </c>
      <c r="AT167" s="2806" t="n"/>
      <c r="AU167" s="2848">
        <f>SUM(AU148:AU166)</f>
        <v/>
      </c>
      <c r="AV167" s="2848">
        <f>SUM(AV148:AV166)</f>
        <v/>
      </c>
      <c r="AW167" s="2848">
        <f>SUM(AW166:AW166)</f>
        <v/>
      </c>
      <c r="AX167" s="2806" t="n"/>
      <c r="AY167" s="2847">
        <f>SUM(AY148:AY166)</f>
        <v/>
      </c>
      <c r="AZ167" s="2847">
        <f>SUM(AZ148:AZ164)</f>
        <v/>
      </c>
      <c r="BA167" s="2847">
        <f>SUM(BA166:BA166)</f>
        <v/>
      </c>
    </row>
    <row customFormat="1" outlineLevel="1" r="168" s="2808" spans="1:55">
      <c r="A168" s="2847" t="s">
        <v>382</v>
      </c>
      <c r="B168" s="2806" t="n"/>
      <c r="C168" s="2848" t="n"/>
      <c r="D168" s="2848" t="n"/>
      <c r="E168" s="2849">
        <f>E167/C167</f>
        <v/>
      </c>
      <c r="F168" s="2806" t="n"/>
      <c r="G168" s="2848" t="n"/>
      <c r="H168" s="2848" t="n"/>
      <c r="I168" s="2849">
        <f>I167/G167</f>
        <v/>
      </c>
      <c r="J168" s="2806" t="n"/>
      <c r="K168" s="2848" t="n"/>
      <c r="L168" s="2848" t="n"/>
      <c r="M168" s="2849">
        <f>M167/K167</f>
        <v/>
      </c>
      <c r="N168" s="2808" t="n"/>
      <c r="O168" s="2848" t="n"/>
      <c r="P168" s="2848" t="n"/>
      <c r="Q168" s="2849">
        <f>Q167/O167</f>
        <v/>
      </c>
      <c r="R168" s="2806" t="n"/>
      <c r="S168" s="2848" t="n"/>
      <c r="T168" s="2848" t="n"/>
      <c r="U168" s="2849">
        <f>U167/S167</f>
        <v/>
      </c>
      <c r="V168" s="2808" t="n"/>
      <c r="W168" s="2848" t="n"/>
      <c r="X168" s="2848" t="n"/>
      <c r="Y168" s="2849">
        <f>Y167/W167</f>
        <v/>
      </c>
      <c r="Z168" s="2808" t="n"/>
      <c r="AA168" s="2848" t="n"/>
      <c r="AB168" s="2848" t="n"/>
      <c r="AC168" s="2849">
        <f>AC167/AA167</f>
        <v/>
      </c>
      <c r="AD168" s="2808" t="n"/>
      <c r="AE168" s="2848" t="n"/>
      <c r="AF168" s="2848" t="n"/>
      <c r="AG168" s="2849">
        <f>AG167/AE167</f>
        <v/>
      </c>
      <c r="AH168" s="2808" t="n"/>
      <c r="AI168" s="2848" t="n"/>
      <c r="AJ168" s="2848" t="n"/>
      <c r="AK168" s="2849">
        <f>AK167/AI167</f>
        <v/>
      </c>
      <c r="AL168" s="2806" t="n"/>
      <c r="AM168" s="2848" t="n"/>
      <c r="AN168" s="2848" t="n"/>
      <c r="AO168" s="2849">
        <f>AO167/AM167</f>
        <v/>
      </c>
      <c r="AP168" s="2806" t="n"/>
      <c r="AQ168" s="2848" t="n"/>
      <c r="AR168" s="2848" t="n"/>
      <c r="AS168" s="2849">
        <f>AS167/AQ167</f>
        <v/>
      </c>
      <c r="AT168" s="2806" t="n"/>
      <c r="AU168" s="2848" t="n"/>
      <c r="AV168" s="2848" t="n"/>
      <c r="AW168" s="2849">
        <f>AW167/AU167</f>
        <v/>
      </c>
      <c r="AX168" s="2806" t="n"/>
      <c r="AY168" s="2847" t="n"/>
      <c r="AZ168" s="2847" t="n"/>
      <c r="BA168" s="2849">
        <f>BA167/AY167</f>
        <v/>
      </c>
    </row>
    <row customFormat="1" outlineLevel="1" r="169" s="2808" spans="1:55">
      <c r="A169" s="2853" t="n"/>
      <c r="B169" s="2806" t="n"/>
      <c r="C169" s="2835" t="n"/>
      <c r="E169" s="2836" t="n"/>
      <c r="F169" s="2806" t="n"/>
      <c r="I169" s="2836" t="n"/>
      <c r="J169" s="2806" t="n"/>
      <c r="M169" s="2836" t="n"/>
      <c r="Q169" s="2836" t="n"/>
      <c r="R169" s="2806" t="n"/>
      <c r="U169" s="2836" t="n"/>
      <c r="Y169" s="2836" t="n"/>
      <c r="AC169" s="2836" t="n"/>
      <c r="AG169" s="2836" t="n"/>
      <c r="AK169" s="2836" t="n"/>
      <c r="AL169" s="2806" t="n"/>
      <c r="AO169" s="2836" t="n"/>
      <c r="AP169" s="2806" t="n"/>
      <c r="AS169" s="2836" t="n"/>
      <c r="AT169" s="2806" t="n"/>
      <c r="AW169" s="2836" t="n"/>
      <c r="AX169" s="2806" t="n"/>
      <c r="AY169" s="2806" t="n"/>
      <c r="AZ169" s="2806" t="n"/>
      <c r="BA169" s="2836" t="n"/>
    </row>
    <row customFormat="1" outlineLevel="1" r="170" s="2216" spans="1:55">
      <c r="A170" s="2837" t="s">
        <v>383</v>
      </c>
      <c r="B170" s="2781" t="n"/>
      <c r="C170" s="2838" t="s">
        <v>62</v>
      </c>
      <c r="F170" s="2781" t="n"/>
      <c r="G170" s="2838" t="s">
        <v>63</v>
      </c>
      <c r="J170" s="2781" t="n"/>
      <c r="K170" s="2838" t="s">
        <v>64</v>
      </c>
      <c r="N170" s="2839" t="n"/>
      <c r="O170" s="2838" t="s">
        <v>174</v>
      </c>
      <c r="R170" s="2781" t="n"/>
      <c r="S170" s="2838" t="s">
        <v>66</v>
      </c>
      <c r="V170" s="2839" t="n"/>
      <c r="W170" s="2838" t="s">
        <v>67</v>
      </c>
      <c r="Z170" s="2839" t="n"/>
      <c r="AA170" s="2838" t="s">
        <v>69</v>
      </c>
      <c r="AD170" s="2839" t="n"/>
      <c r="AE170" s="2838" t="s">
        <v>70</v>
      </c>
      <c r="AH170" s="2839" t="n"/>
      <c r="AI170" s="2838" t="s">
        <v>71</v>
      </c>
      <c r="AL170" s="2781" t="n"/>
      <c r="AM170" s="2838" t="s">
        <v>72</v>
      </c>
      <c r="AP170" s="2781" t="n"/>
      <c r="AQ170" s="2838" t="s">
        <v>73</v>
      </c>
      <c r="AT170" s="2781" t="n"/>
      <c r="AU170" s="2838" t="s">
        <v>74</v>
      </c>
      <c r="AX170" s="2781" t="n"/>
      <c r="AY170" s="2838" t="s">
        <v>173</v>
      </c>
    </row>
    <row customFormat="1" outlineLevel="1" r="171" s="2216" spans="1:55">
      <c r="A171" s="2840" t="n"/>
      <c r="B171" s="2785" t="n"/>
      <c r="C171" s="2840" t="s">
        <v>89</v>
      </c>
      <c r="D171" s="2840" t="s">
        <v>152</v>
      </c>
      <c r="E171" s="2840" t="s">
        <v>153</v>
      </c>
      <c r="F171" s="2785" t="n"/>
      <c r="G171" s="2840" t="s">
        <v>89</v>
      </c>
      <c r="H171" s="2840" t="s">
        <v>152</v>
      </c>
      <c r="I171" s="2840" t="s">
        <v>153</v>
      </c>
      <c r="J171" s="2785" t="n"/>
      <c r="K171" s="2840" t="s">
        <v>89</v>
      </c>
      <c r="L171" s="2840" t="s">
        <v>152</v>
      </c>
      <c r="M171" s="2840" t="s">
        <v>153</v>
      </c>
      <c r="N171" s="2839" t="n"/>
      <c r="O171" s="2840" t="s">
        <v>89</v>
      </c>
      <c r="P171" s="2840" t="s">
        <v>152</v>
      </c>
      <c r="Q171" s="2840" t="s">
        <v>153</v>
      </c>
      <c r="R171" s="2785" t="n"/>
      <c r="S171" s="2840" t="s">
        <v>89</v>
      </c>
      <c r="T171" s="2840" t="s">
        <v>152</v>
      </c>
      <c r="U171" s="2840" t="s">
        <v>153</v>
      </c>
      <c r="V171" s="2839" t="n"/>
      <c r="W171" s="2840" t="s">
        <v>89</v>
      </c>
      <c r="X171" s="2840" t="s">
        <v>152</v>
      </c>
      <c r="Y171" s="2840" t="s">
        <v>153</v>
      </c>
      <c r="Z171" s="2839" t="n"/>
      <c r="AA171" s="2840" t="s">
        <v>89</v>
      </c>
      <c r="AB171" s="2840" t="s">
        <v>152</v>
      </c>
      <c r="AC171" s="2840" t="s">
        <v>153</v>
      </c>
      <c r="AD171" s="2839" t="n"/>
      <c r="AE171" s="2840" t="s">
        <v>89</v>
      </c>
      <c r="AF171" s="2840" t="s">
        <v>152</v>
      </c>
      <c r="AG171" s="2840" t="s">
        <v>153</v>
      </c>
      <c r="AH171" s="2839" t="n"/>
      <c r="AI171" s="2840" t="s">
        <v>89</v>
      </c>
      <c r="AJ171" s="2840" t="s">
        <v>152</v>
      </c>
      <c r="AK171" s="2840" t="s">
        <v>153</v>
      </c>
      <c r="AL171" s="2785" t="n"/>
      <c r="AM171" s="2840" t="s">
        <v>89</v>
      </c>
      <c r="AN171" s="2840" t="s">
        <v>152</v>
      </c>
      <c r="AO171" s="2840" t="s">
        <v>153</v>
      </c>
      <c r="AP171" s="2785" t="n"/>
      <c r="AQ171" s="2840" t="s">
        <v>89</v>
      </c>
      <c r="AR171" s="2840" t="s">
        <v>152</v>
      </c>
      <c r="AS171" s="2840" t="s">
        <v>153</v>
      </c>
      <c r="AT171" s="2785" t="n"/>
      <c r="AU171" s="2840" t="s">
        <v>89</v>
      </c>
      <c r="AV171" s="2840" t="s">
        <v>152</v>
      </c>
      <c r="AW171" s="2840" t="s">
        <v>153</v>
      </c>
      <c r="AX171" s="2785" t="n"/>
      <c r="AY171" s="2840" t="s">
        <v>89</v>
      </c>
      <c r="AZ171" s="2840" t="s">
        <v>152</v>
      </c>
      <c r="BA171" s="2840" t="s">
        <v>153</v>
      </c>
    </row>
    <row customFormat="1" outlineLevel="1" r="172" s="2216" spans="1:55">
      <c r="A172" s="2841" t="s">
        <v>187</v>
      </c>
      <c r="B172" s="2789" t="n"/>
      <c r="C172" s="2842" t="n"/>
      <c r="D172" s="2842">
        <f>' SET Cost(staf+OS)'!D244/1000</f>
        <v/>
      </c>
      <c r="E172" s="2842" t="n"/>
      <c r="F172" s="2789" t="n"/>
      <c r="G172" s="2842" t="n"/>
      <c r="H172" s="2842">
        <f>' SET Cost(staf+OS)'!E244/1000</f>
        <v/>
      </c>
      <c r="I172" s="2842" t="n"/>
      <c r="J172" s="2789" t="n"/>
      <c r="K172" s="2842" t="n"/>
      <c r="L172" s="2842">
        <f>' SET Cost(staf+OS)'!F244/1000</f>
        <v/>
      </c>
      <c r="M172" s="2842" t="n"/>
      <c r="N172" s="2799" t="n"/>
      <c r="O172" s="2842" t="n"/>
      <c r="P172" s="2842">
        <f>' SET Cost(staf+OS)'!G244/1000</f>
        <v/>
      </c>
      <c r="Q172" s="2842" t="n"/>
      <c r="R172" s="2789" t="n"/>
      <c r="S172" s="2842" t="n"/>
      <c r="T172" s="2842">
        <f>' SET Cost(staf+OS)'!H244/1000</f>
        <v/>
      </c>
      <c r="U172" s="2842" t="n"/>
      <c r="V172" s="2799" t="n"/>
      <c r="W172" s="2842" t="n"/>
      <c r="X172" s="2842">
        <f>' SET Cost(staf+OS)'!I244/1000</f>
        <v/>
      </c>
      <c r="Y172" s="2842" t="n"/>
      <c r="Z172" s="2799" t="n"/>
      <c r="AA172" s="2842" t="n"/>
      <c r="AB172" s="2842">
        <f>' SET Cost(staf+OS)'!J244/1000</f>
        <v/>
      </c>
      <c r="AC172" s="2842" t="n"/>
      <c r="AD172" s="2799" t="n"/>
      <c r="AE172" s="2842" t="n"/>
      <c r="AF172" s="2842">
        <f>' SET Cost(staf+OS)'!K244/1000</f>
        <v/>
      </c>
      <c r="AG172" s="2842" t="n"/>
      <c r="AH172" s="2799" t="n"/>
      <c r="AI172" s="2842" t="n"/>
      <c r="AJ172" s="2842">
        <f>' SET Cost(staf+OS)'!L244/1000</f>
        <v/>
      </c>
      <c r="AK172" s="2842" t="n"/>
      <c r="AL172" s="2789" t="n"/>
      <c r="AM172" s="2842" t="n"/>
      <c r="AN172" s="2842">
        <f>' SET Cost(staf+OS)'!M244/1000</f>
        <v/>
      </c>
      <c r="AO172" s="2842" t="n"/>
      <c r="AP172" s="2789" t="n"/>
      <c r="AQ172" s="2842" t="n"/>
      <c r="AR172" s="2842">
        <f>' SET Cost(staf+OS)'!N244/1000</f>
        <v/>
      </c>
      <c r="AS172" s="2842" t="n"/>
      <c r="AT172" s="2789" t="n"/>
      <c r="AU172" s="2842" t="n"/>
      <c r="AV172" s="2842">
        <f>' SET Cost(staf+OS)'!O244/1000</f>
        <v/>
      </c>
      <c r="AW172" s="2842" t="n"/>
      <c r="AX172" s="2789" t="n"/>
      <c r="AY172" s="2841" t="n"/>
      <c r="AZ172" s="2841">
        <f>SUM(C172:AW172)</f>
        <v/>
      </c>
      <c r="BA172" s="2841" t="n"/>
      <c r="BB172" s="950" t="n"/>
      <c r="BC172" s="2802" t="n"/>
    </row>
    <row customFormat="1" outlineLevel="1" r="173" s="2216" spans="1:55">
      <c r="A173" s="2841" t="s">
        <v>189</v>
      </c>
      <c r="B173" s="2789" t="n"/>
      <c r="C173" s="2842" t="n"/>
      <c r="D173" s="2842">
        <f>' SET Cost(staf+OS)'!D245/1000</f>
        <v/>
      </c>
      <c r="E173" s="2842" t="n"/>
      <c r="F173" s="2789" t="n"/>
      <c r="G173" s="2842" t="n"/>
      <c r="H173" s="2842">
        <f>' SET Cost(staf+OS)'!E245/1000</f>
        <v/>
      </c>
      <c r="I173" s="2842" t="n"/>
      <c r="J173" s="2789" t="n"/>
      <c r="K173" s="2842" t="n"/>
      <c r="L173" s="2842">
        <f>' SET Cost(staf+OS)'!F245/1000</f>
        <v/>
      </c>
      <c r="M173" s="2842" t="n"/>
      <c r="N173" s="2799" t="n"/>
      <c r="O173" s="2842" t="n"/>
      <c r="P173" s="2842">
        <f>' SET Cost(staf+OS)'!G245/1000</f>
        <v/>
      </c>
      <c r="Q173" s="2842" t="n"/>
      <c r="R173" s="2789" t="n"/>
      <c r="S173" s="2842" t="n"/>
      <c r="T173" s="2842">
        <f>' SET Cost(staf+OS)'!H245/1000</f>
        <v/>
      </c>
      <c r="U173" s="2842" t="n"/>
      <c r="V173" s="2799" t="n"/>
      <c r="W173" s="2842" t="n"/>
      <c r="X173" s="2842">
        <f>' SET Cost(staf+OS)'!I245/1000</f>
        <v/>
      </c>
      <c r="Y173" s="2842" t="n"/>
      <c r="Z173" s="2799" t="n"/>
      <c r="AA173" s="2842" t="n"/>
      <c r="AB173" s="2842">
        <f>' SET Cost(staf+OS)'!J245/1000</f>
        <v/>
      </c>
      <c r="AC173" s="2842" t="n"/>
      <c r="AD173" s="2799" t="n"/>
      <c r="AE173" s="2842" t="n"/>
      <c r="AF173" s="2842">
        <f>' SET Cost(staf+OS)'!K245/1000</f>
        <v/>
      </c>
      <c r="AG173" s="2842" t="n"/>
      <c r="AH173" s="2799" t="n"/>
      <c r="AI173" s="2842" t="n"/>
      <c r="AJ173" s="2842">
        <f>' SET Cost(staf+OS)'!L245/1000</f>
        <v/>
      </c>
      <c r="AK173" s="2842" t="n"/>
      <c r="AL173" s="2789" t="n"/>
      <c r="AM173" s="2842" t="n"/>
      <c r="AN173" s="2842">
        <f>' SET Cost(staf+OS)'!M245/1000</f>
        <v/>
      </c>
      <c r="AO173" s="2842" t="n"/>
      <c r="AP173" s="2789" t="n"/>
      <c r="AQ173" s="2842" t="n"/>
      <c r="AR173" s="2842">
        <f>' SET Cost(staf+OS)'!N245/1000</f>
        <v/>
      </c>
      <c r="AS173" s="2842" t="n"/>
      <c r="AT173" s="2789" t="n"/>
      <c r="AU173" s="2842" t="n"/>
      <c r="AV173" s="2842">
        <f>' SET Cost(staf+OS)'!O245/1000</f>
        <v/>
      </c>
      <c r="AW173" s="2842" t="n"/>
      <c r="AX173" s="2789" t="n"/>
      <c r="AY173" s="2841" t="n"/>
      <c r="AZ173" s="2841">
        <f>SUM(C173:AW173)</f>
        <v/>
      </c>
      <c r="BA173" s="2841" t="n"/>
      <c r="BB173" s="950" t="n"/>
      <c r="BC173" s="2802" t="n"/>
    </row>
    <row customFormat="1" outlineLevel="1" r="174" s="2216" spans="1:55">
      <c r="A174" s="2841" t="s">
        <v>252</v>
      </c>
      <c r="B174" s="2789" t="n"/>
      <c r="C174" s="2842" t="n"/>
      <c r="D174" s="2842">
        <f>' SET Cost(staf+OS)'!D246/1000</f>
        <v/>
      </c>
      <c r="E174" s="2842" t="n"/>
      <c r="F174" s="2789" t="n"/>
      <c r="G174" s="2842" t="n"/>
      <c r="H174" s="2842">
        <f>' SET Cost(staf+OS)'!E246/1000</f>
        <v/>
      </c>
      <c r="I174" s="2842" t="n"/>
      <c r="J174" s="2789" t="n"/>
      <c r="K174" s="2842" t="n"/>
      <c r="L174" s="2842">
        <f>' SET Cost(staf+OS)'!F246/1000</f>
        <v/>
      </c>
      <c r="M174" s="2842" t="n"/>
      <c r="N174" s="2799" t="n"/>
      <c r="O174" s="2842" t="n"/>
      <c r="P174" s="2842">
        <f>' SET Cost(staf+OS)'!G246/1000</f>
        <v/>
      </c>
      <c r="Q174" s="2842" t="n"/>
      <c r="R174" s="2789" t="n"/>
      <c r="S174" s="2842" t="n"/>
      <c r="T174" s="2842">
        <f>' SET Cost(staf+OS)'!H246/1000</f>
        <v/>
      </c>
      <c r="U174" s="2842" t="n"/>
      <c r="V174" s="2799" t="n"/>
      <c r="W174" s="2842" t="n"/>
      <c r="X174" s="2842">
        <f>' SET Cost(staf+OS)'!I246/1000</f>
        <v/>
      </c>
      <c r="Y174" s="2842" t="n"/>
      <c r="Z174" s="2799" t="n"/>
      <c r="AA174" s="2842" t="n"/>
      <c r="AB174" s="2842">
        <f>' SET Cost(staf+OS)'!J246/1000</f>
        <v/>
      </c>
      <c r="AC174" s="2842" t="n"/>
      <c r="AD174" s="2799" t="n"/>
      <c r="AE174" s="2842" t="n"/>
      <c r="AF174" s="2842">
        <f>' SET Cost(staf+OS)'!K246/1000</f>
        <v/>
      </c>
      <c r="AG174" s="2842" t="n"/>
      <c r="AH174" s="2799" t="n"/>
      <c r="AI174" s="2842" t="n"/>
      <c r="AJ174" s="2842">
        <f>' SET Cost(staf+OS)'!L246/1000</f>
        <v/>
      </c>
      <c r="AK174" s="2842" t="n"/>
      <c r="AL174" s="2789" t="n"/>
      <c r="AM174" s="2842" t="n"/>
      <c r="AN174" s="2842">
        <f>' SET Cost(staf+OS)'!M246/1000</f>
        <v/>
      </c>
      <c r="AO174" s="2842" t="n"/>
      <c r="AP174" s="2789" t="n"/>
      <c r="AQ174" s="2842" t="n"/>
      <c r="AR174" s="2842">
        <f>' SET Cost(staf+OS)'!N246/1000</f>
        <v/>
      </c>
      <c r="AS174" s="2842" t="n"/>
      <c r="AT174" s="2789" t="n"/>
      <c r="AU174" s="2842" t="n"/>
      <c r="AV174" s="2842">
        <f>' SET Cost(staf+OS)'!O246/1000</f>
        <v/>
      </c>
      <c r="AW174" s="2842" t="n"/>
      <c r="AX174" s="2789" t="n"/>
      <c r="AY174" s="2841" t="n"/>
      <c r="AZ174" s="2841">
        <f>SUM(C174:AW174)</f>
        <v/>
      </c>
      <c r="BA174" s="2841" t="n"/>
      <c r="BB174" s="950" t="n"/>
      <c r="BC174" s="2802" t="n"/>
    </row>
    <row customFormat="1" outlineLevel="1" r="175" s="2216" spans="1:55">
      <c r="A175" s="2841" t="s">
        <v>191</v>
      </c>
      <c r="B175" s="2789" t="n"/>
      <c r="C175" s="2842" t="n"/>
      <c r="D175" s="2842">
        <f>' SET Cost(staf+OS)'!D247/1000</f>
        <v/>
      </c>
      <c r="E175" s="2842" t="n"/>
      <c r="F175" s="2789" t="n"/>
      <c r="G175" s="2842" t="n"/>
      <c r="H175" s="2842">
        <f>' SET Cost(staf+OS)'!E247/1000</f>
        <v/>
      </c>
      <c r="I175" s="2842" t="n"/>
      <c r="J175" s="2789" t="n"/>
      <c r="K175" s="2842" t="n"/>
      <c r="L175" s="2842">
        <f>' SET Cost(staf+OS)'!F247/1000</f>
        <v/>
      </c>
      <c r="M175" s="2842" t="n"/>
      <c r="N175" s="2799" t="n"/>
      <c r="O175" s="2842" t="n"/>
      <c r="P175" s="2842">
        <f>' SET Cost(staf+OS)'!G247/1000</f>
        <v/>
      </c>
      <c r="Q175" s="2842" t="n"/>
      <c r="R175" s="2789" t="n"/>
      <c r="S175" s="2842" t="n"/>
      <c r="T175" s="2842">
        <f>' SET Cost(staf+OS)'!H247/1000</f>
        <v/>
      </c>
      <c r="U175" s="2842" t="n"/>
      <c r="V175" s="2799" t="n"/>
      <c r="W175" s="2842" t="n"/>
      <c r="X175" s="2842">
        <f>' SET Cost(staf+OS)'!I247/1000</f>
        <v/>
      </c>
      <c r="Y175" s="2842" t="n"/>
      <c r="Z175" s="2799" t="n"/>
      <c r="AA175" s="2842" t="n"/>
      <c r="AB175" s="2842">
        <f>' SET Cost(staf+OS)'!J247/1000</f>
        <v/>
      </c>
      <c r="AC175" s="2842" t="n"/>
      <c r="AD175" s="2799" t="n"/>
      <c r="AE175" s="2842" t="n"/>
      <c r="AF175" s="2842">
        <f>' SET Cost(staf+OS)'!K247/1000</f>
        <v/>
      </c>
      <c r="AG175" s="2842" t="n"/>
      <c r="AH175" s="2799" t="n"/>
      <c r="AI175" s="2842" t="n"/>
      <c r="AJ175" s="2842">
        <f>' SET Cost(staf+OS)'!L247/1000</f>
        <v/>
      </c>
      <c r="AK175" s="2842" t="n"/>
      <c r="AL175" s="2789" t="n"/>
      <c r="AM175" s="2842" t="n"/>
      <c r="AN175" s="2842">
        <f>' SET Cost(staf+OS)'!M247/1000</f>
        <v/>
      </c>
      <c r="AO175" s="2842" t="n"/>
      <c r="AP175" s="2789" t="n"/>
      <c r="AQ175" s="2842" t="n"/>
      <c r="AR175" s="2842">
        <f>' SET Cost(staf+OS)'!N247/1000</f>
        <v/>
      </c>
      <c r="AS175" s="2842" t="n"/>
      <c r="AT175" s="2789" t="n"/>
      <c r="AU175" s="2842" t="n"/>
      <c r="AV175" s="2842">
        <f>' SET Cost(staf+OS)'!O247/1000</f>
        <v/>
      </c>
      <c r="AW175" s="2842" t="n"/>
      <c r="AX175" s="2789" t="n"/>
      <c r="AY175" s="2841" t="n"/>
      <c r="AZ175" s="2841">
        <f>SUM(C175:AW175)</f>
        <v/>
      </c>
      <c r="BA175" s="2841" t="n"/>
      <c r="BB175" s="950" t="n"/>
      <c r="BC175" s="2802" t="n"/>
    </row>
    <row customFormat="1" outlineLevel="1" r="176" s="2216" spans="1:55">
      <c r="A176" s="2841" t="s">
        <v>192</v>
      </c>
      <c r="B176" s="2789" t="n"/>
      <c r="C176" s="2842" t="n"/>
      <c r="D176" s="2842">
        <f>' SET Cost(staf+OS)'!D248/1000</f>
        <v/>
      </c>
      <c r="E176" s="2842" t="n"/>
      <c r="F176" s="2789" t="n"/>
      <c r="G176" s="2842" t="n"/>
      <c r="H176" s="2842">
        <f>' SET Cost(staf+OS)'!E248/1000</f>
        <v/>
      </c>
      <c r="I176" s="2842" t="n"/>
      <c r="J176" s="2789" t="n"/>
      <c r="K176" s="2842" t="n"/>
      <c r="L176" s="2842">
        <f>' SET Cost(staf+OS)'!F248/1000</f>
        <v/>
      </c>
      <c r="M176" s="2842" t="n"/>
      <c r="N176" s="2799" t="n"/>
      <c r="O176" s="2842" t="n"/>
      <c r="P176" s="2842">
        <f>' SET Cost(staf+OS)'!G248/1000</f>
        <v/>
      </c>
      <c r="Q176" s="2842" t="n"/>
      <c r="R176" s="2789" t="n"/>
      <c r="S176" s="2842" t="n"/>
      <c r="T176" s="2842">
        <f>' SET Cost(staf+OS)'!H248/1000</f>
        <v/>
      </c>
      <c r="U176" s="2842" t="n"/>
      <c r="V176" s="2799" t="n"/>
      <c r="W176" s="2842" t="n"/>
      <c r="X176" s="2842">
        <f>' SET Cost(staf+OS)'!I248/1000</f>
        <v/>
      </c>
      <c r="Y176" s="2842" t="n"/>
      <c r="Z176" s="2799" t="n"/>
      <c r="AA176" s="2842" t="n"/>
      <c r="AB176" s="2842">
        <f>' SET Cost(staf+OS)'!J248/1000</f>
        <v/>
      </c>
      <c r="AC176" s="2842" t="n"/>
      <c r="AD176" s="2799" t="n"/>
      <c r="AE176" s="2842" t="n"/>
      <c r="AF176" s="2842">
        <f>' SET Cost(staf+OS)'!K248/1000</f>
        <v/>
      </c>
      <c r="AG176" s="2842" t="n"/>
      <c r="AH176" s="2799" t="n"/>
      <c r="AI176" s="2842" t="n"/>
      <c r="AJ176" s="2842">
        <f>' SET Cost(staf+OS)'!L248/1000</f>
        <v/>
      </c>
      <c r="AK176" s="2842" t="n"/>
      <c r="AL176" s="2789" t="n"/>
      <c r="AM176" s="2842" t="n"/>
      <c r="AN176" s="2842">
        <f>' SET Cost(staf+OS)'!M248/1000</f>
        <v/>
      </c>
      <c r="AO176" s="2842" t="n"/>
      <c r="AP176" s="2789" t="n"/>
      <c r="AQ176" s="2842" t="n"/>
      <c r="AR176" s="2842">
        <f>' SET Cost(staf+OS)'!N248/1000</f>
        <v/>
      </c>
      <c r="AS176" s="2842" t="n"/>
      <c r="AT176" s="2789" t="n"/>
      <c r="AU176" s="2842" t="n"/>
      <c r="AV176" s="2842">
        <f>' SET Cost(staf+OS)'!O248/1000</f>
        <v/>
      </c>
      <c r="AW176" s="2842" t="n"/>
      <c r="AX176" s="2789" t="n"/>
      <c r="AY176" s="2841" t="n"/>
      <c r="AZ176" s="2841">
        <f>SUM(C176:AW176)</f>
        <v/>
      </c>
      <c r="BA176" s="2841" t="n"/>
      <c r="BB176" s="950" t="n"/>
      <c r="BC176" s="2802" t="n"/>
    </row>
    <row customFormat="1" outlineLevel="1" r="177" s="2216" spans="1:55">
      <c r="A177" s="2841" t="s">
        <v>194</v>
      </c>
      <c r="B177" s="2789" t="n"/>
      <c r="C177" s="2842" t="n"/>
      <c r="D177" s="2842">
        <f>' SET Cost(staf+OS)'!D249/1000+'OS&amp;Travel Exp'!C53/1000</f>
        <v/>
      </c>
      <c r="E177" s="2842" t="n"/>
      <c r="F177" s="2789" t="n"/>
      <c r="G177" s="2842" t="n"/>
      <c r="H177" s="2842">
        <f>' SET Cost(staf+OS)'!E249/1000+'OS&amp;Travel Exp'!D53/1000</f>
        <v/>
      </c>
      <c r="I177" s="2842" t="n"/>
      <c r="J177" s="2789" t="n"/>
      <c r="K177" s="2842" t="n"/>
      <c r="L177" s="2842">
        <f>' SET Cost(staf+OS)'!F249/1000+'OS&amp;Travel Exp'!E53/1000</f>
        <v/>
      </c>
      <c r="M177" s="2842" t="n"/>
      <c r="N177" s="2799" t="n"/>
      <c r="O177" s="2842" t="n"/>
      <c r="P177" s="2842" t="n">
        <v>0</v>
      </c>
      <c r="Q177" s="2842" t="n"/>
      <c r="R177" s="2789" t="n"/>
      <c r="S177" s="2842" t="n"/>
      <c r="T177" s="2842">
        <f>' SET Cost(staf+OS)'!H249/1000+'OS&amp;Travel Exp'!G53/1000</f>
        <v/>
      </c>
      <c r="U177" s="2842" t="n"/>
      <c r="V177" s="2799" t="n"/>
      <c r="W177" s="2842" t="n"/>
      <c r="X177" s="2842">
        <f>' SET Cost(staf+OS)'!I249/1000+'OS&amp;Travel Exp'!H53/1000</f>
        <v/>
      </c>
      <c r="Y177" s="2842" t="n"/>
      <c r="Z177" s="2799" t="n"/>
      <c r="AA177" s="2842" t="n"/>
      <c r="AB177" s="2842">
        <f>' SET Cost(staf+OS)'!J249/1000+'OS&amp;Travel Exp'!I53/1000</f>
        <v/>
      </c>
      <c r="AC177" s="2842" t="n"/>
      <c r="AD177" s="2799" t="n"/>
      <c r="AE177" s="2842" t="n"/>
      <c r="AF177" s="2842">
        <f>' SET Cost(staf+OS)'!K249/1000+'OS&amp;Travel Exp'!J53/1000</f>
        <v/>
      </c>
      <c r="AG177" s="2842" t="n"/>
      <c r="AH177" s="2799" t="n"/>
      <c r="AI177" s="2842" t="n"/>
      <c r="AJ177" s="2842">
        <f>' SET Cost(staf+OS)'!L249/1000+'OS&amp;Travel Exp'!K53/1000</f>
        <v/>
      </c>
      <c r="AK177" s="2842" t="n"/>
      <c r="AL177" s="2789" t="n"/>
      <c r="AM177" s="2842" t="n"/>
      <c r="AN177" s="2842">
        <f>' SET Cost(staf+OS)'!M249/1000+'OS&amp;Travel Exp'!L53/1000</f>
        <v/>
      </c>
      <c r="AO177" s="2842" t="n"/>
      <c r="AP177" s="2789" t="n"/>
      <c r="AQ177" s="2842" t="n"/>
      <c r="AR177" s="2842">
        <f>' SET Cost(staf+OS)'!N249/1000+'OS&amp;Travel Exp'!M53/1000</f>
        <v/>
      </c>
      <c r="AS177" s="2842" t="n"/>
      <c r="AT177" s="2789" t="n"/>
      <c r="AU177" s="2842" t="n"/>
      <c r="AV177" s="2842">
        <f>' SET Cost(staf+OS)'!O249/1000+'OS&amp;Travel Exp'!N53/1000</f>
        <v/>
      </c>
      <c r="AW177" s="2842" t="n"/>
      <c r="AX177" s="2789" t="n"/>
      <c r="AY177" s="2841" t="n"/>
      <c r="AZ177" s="2841">
        <f>SUM(C177:AW177)</f>
        <v/>
      </c>
      <c r="BA177" s="2841" t="n"/>
      <c r="BB177" s="950" t="n"/>
      <c r="BC177" s="2802" t="n"/>
    </row>
    <row customFormat="1" outlineLevel="1" r="178" s="2216" spans="1:55">
      <c r="A178" s="2841" t="s">
        <v>195</v>
      </c>
      <c r="B178" s="2789" t="n"/>
      <c r="C178" s="2842" t="n"/>
      <c r="D178" s="2842">
        <f>' SET Cost(staf+OS)'!D250/1000+'OS&amp;Travel Exp'!C30/1000</f>
        <v/>
      </c>
      <c r="E178" s="2842" t="n"/>
      <c r="F178" s="2789" t="n"/>
      <c r="G178" s="2842" t="n"/>
      <c r="H178" s="2842">
        <f>' SET Cost(staf+OS)'!E250/1000+'OS&amp;Travel Exp'!D30/1000</f>
        <v/>
      </c>
      <c r="I178" s="2842" t="n"/>
      <c r="J178" s="2789" t="n"/>
      <c r="K178" s="2842" t="n"/>
      <c r="L178" s="2842">
        <f>' SET Cost(staf+OS)'!F250/1000+'OS&amp;Travel Exp'!E30/1000</f>
        <v/>
      </c>
      <c r="M178" s="2842" t="n"/>
      <c r="N178" s="2799" t="n"/>
      <c r="O178" s="2842" t="n"/>
      <c r="P178" s="2842">
        <f>' SET Cost(staf+OS)'!G250/1000+'OS&amp;Travel Exp'!F30/1000</f>
        <v/>
      </c>
      <c r="Q178" s="2842" t="n"/>
      <c r="R178" s="2789" t="n"/>
      <c r="S178" s="2842" t="n"/>
      <c r="T178" s="2842">
        <f>' SET Cost(staf+OS)'!H250/1000+'OS&amp;Travel Exp'!G30/1000</f>
        <v/>
      </c>
      <c r="U178" s="2842" t="n"/>
      <c r="V178" s="2799" t="n"/>
      <c r="W178" s="2842" t="n"/>
      <c r="X178" s="2842">
        <f>' SET Cost(staf+OS)'!I250/1000+'OS&amp;Travel Exp'!H30/1000</f>
        <v/>
      </c>
      <c r="Y178" s="2842" t="n"/>
      <c r="Z178" s="2799" t="n"/>
      <c r="AA178" s="2842" t="n"/>
      <c r="AB178" s="2842">
        <f>' SET Cost(staf+OS)'!J250/1000+'OS&amp;Travel Exp'!I30/1000</f>
        <v/>
      </c>
      <c r="AC178" s="2842" t="n"/>
      <c r="AD178" s="2799" t="n"/>
      <c r="AE178" s="2842" t="n"/>
      <c r="AF178" s="2842">
        <f>' SET Cost(staf+OS)'!K250/1000+'OS&amp;Travel Exp'!J30/1000</f>
        <v/>
      </c>
      <c r="AG178" s="2842" t="n"/>
      <c r="AH178" s="2799" t="n"/>
      <c r="AI178" s="2842" t="n"/>
      <c r="AJ178" s="2842">
        <f>' SET Cost(staf+OS)'!L250/1000+'OS&amp;Travel Exp'!K30/1000</f>
        <v/>
      </c>
      <c r="AK178" s="2842" t="n"/>
      <c r="AL178" s="2789" t="n"/>
      <c r="AM178" s="2842" t="n"/>
      <c r="AN178" s="2842">
        <f>' SET Cost(staf+OS)'!M250/1000+'OS&amp;Travel Exp'!L30/1000</f>
        <v/>
      </c>
      <c r="AO178" s="2842" t="n"/>
      <c r="AP178" s="2789" t="n"/>
      <c r="AQ178" s="2842" t="n"/>
      <c r="AR178" s="2842">
        <f>' SET Cost(staf+OS)'!N250/1000+'OS&amp;Travel Exp'!M30/1000</f>
        <v/>
      </c>
      <c r="AS178" s="2842" t="n"/>
      <c r="AT178" s="2789" t="n"/>
      <c r="AU178" s="2842" t="n"/>
      <c r="AV178" s="2842">
        <f>' SET Cost(staf+OS)'!O250/1000+'OS&amp;Travel Exp'!N30/1000</f>
        <v/>
      </c>
      <c r="AW178" s="2842" t="n"/>
      <c r="AX178" s="2789" t="n"/>
      <c r="AY178" s="2841" t="n"/>
      <c r="AZ178" s="2841">
        <f>SUM(C178:AW178)</f>
        <v/>
      </c>
      <c r="BA178" s="2841" t="n"/>
      <c r="BC178" s="2802" t="n"/>
    </row>
    <row customFormat="1" outlineLevel="1" r="179" s="2216" spans="1:55">
      <c r="A179" s="2843" t="s">
        <v>366</v>
      </c>
      <c r="B179" s="2793" t="n"/>
      <c r="C179" s="2844" t="n"/>
      <c r="D179" s="2844">
        <f>'OS&amp;Travel Exp'!C5</f>
        <v/>
      </c>
      <c r="E179" s="2844" t="n"/>
      <c r="F179" s="2793" t="n"/>
      <c r="G179" s="2844" t="n"/>
      <c r="H179" s="2844">
        <f>'OS&amp;Travel Exp'!D5</f>
        <v/>
      </c>
      <c r="I179" s="2844" t="n"/>
      <c r="J179" s="2793" t="n"/>
      <c r="K179" s="2844" t="n"/>
      <c r="L179" s="2844">
        <f>'OS&amp;Travel Exp'!E5</f>
        <v/>
      </c>
      <c r="M179" s="2844" t="n"/>
      <c r="N179" s="2795" t="n"/>
      <c r="O179" s="2844" t="n"/>
      <c r="P179" s="2844">
        <f>'OS&amp;Travel Exp'!F5</f>
        <v/>
      </c>
      <c r="Q179" s="2844" t="n"/>
      <c r="R179" s="2793" t="n"/>
      <c r="S179" s="2844" t="n"/>
      <c r="T179" s="2844">
        <f>'OS&amp;Travel Exp'!G5</f>
        <v/>
      </c>
      <c r="U179" s="2844" t="n"/>
      <c r="V179" s="2795" t="n"/>
      <c r="W179" s="2844" t="n"/>
      <c r="X179" s="2844">
        <f>'OS&amp;Travel Exp'!H5</f>
        <v/>
      </c>
      <c r="Y179" s="2844" t="n"/>
      <c r="Z179" s="2795" t="n"/>
      <c r="AA179" s="2844" t="n"/>
      <c r="AB179" s="2844">
        <f>'OS&amp;Travel Exp'!I5</f>
        <v/>
      </c>
      <c r="AC179" s="2844" t="n"/>
      <c r="AD179" s="2795" t="n"/>
      <c r="AE179" s="2844" t="n"/>
      <c r="AF179" s="2844">
        <f>'OS&amp;Travel Exp'!J5</f>
        <v/>
      </c>
      <c r="AG179" s="2844" t="n"/>
      <c r="AH179" s="2795" t="n"/>
      <c r="AI179" s="2844" t="n"/>
      <c r="AJ179" s="2844">
        <f>'OS&amp;Travel Exp'!K5</f>
        <v/>
      </c>
      <c r="AK179" s="2844" t="n"/>
      <c r="AL179" s="2793" t="n"/>
      <c r="AM179" s="2844" t="n"/>
      <c r="AN179" s="2844">
        <f>'OS&amp;Travel Exp'!L5</f>
        <v/>
      </c>
      <c r="AO179" s="2844" t="n"/>
      <c r="AP179" s="2793" t="n"/>
      <c r="AQ179" s="2844" t="n"/>
      <c r="AR179" s="2844">
        <f>'OS&amp;Travel Exp'!M5</f>
        <v/>
      </c>
      <c r="AS179" s="2844" t="n"/>
      <c r="AT179" s="2793" t="n"/>
      <c r="AU179" s="2844" t="n"/>
      <c r="AV179" s="2844">
        <f>'OS&amp;Travel Exp'!N5</f>
        <v/>
      </c>
      <c r="AW179" s="2844" t="n"/>
      <c r="AX179" s="2793" t="n"/>
      <c r="AY179" s="2843" t="n"/>
      <c r="AZ179" s="2843">
        <f>SUM(C179:AW179)</f>
        <v/>
      </c>
      <c r="BA179" s="2843" t="n"/>
      <c r="BB179" s="950" t="n"/>
      <c r="BC179" s="2802" t="n"/>
    </row>
    <row customFormat="1" outlineLevel="1" r="180" s="2216" spans="1:55">
      <c r="A180" s="2841" t="s">
        <v>161</v>
      </c>
      <c r="B180" s="2789" t="n"/>
      <c r="C180" s="2842" t="n"/>
      <c r="D180" s="2842">
        <f>' SET Cost(staf+OS)'!D252/1000</f>
        <v/>
      </c>
      <c r="E180" s="2842" t="n"/>
      <c r="F180" s="2789" t="n"/>
      <c r="G180" s="2842" t="n"/>
      <c r="H180" s="2842">
        <f>' SET Cost(staf+OS)'!E252/1000</f>
        <v/>
      </c>
      <c r="I180" s="2842" t="n"/>
      <c r="J180" s="2789" t="n"/>
      <c r="K180" s="2842" t="n"/>
      <c r="L180" s="2842">
        <f>' SET Cost(staf+OS)'!F252/1000</f>
        <v/>
      </c>
      <c r="M180" s="2842" t="n"/>
      <c r="N180" s="2799" t="n"/>
      <c r="O180" s="2842" t="n"/>
      <c r="P180" s="2842">
        <f>' SET Cost(staf+OS)'!G252/1000</f>
        <v/>
      </c>
      <c r="Q180" s="2842" t="n"/>
      <c r="R180" s="2789" t="n"/>
      <c r="S180" s="2842" t="n"/>
      <c r="T180" s="2842">
        <f>' SET Cost(staf+OS)'!H252/1000</f>
        <v/>
      </c>
      <c r="U180" s="2842" t="n"/>
      <c r="V180" s="2799" t="n"/>
      <c r="W180" s="2842" t="n"/>
      <c r="X180" s="2842">
        <f>' SET Cost(staf+OS)'!I252/1000</f>
        <v/>
      </c>
      <c r="Y180" s="2842" t="n"/>
      <c r="Z180" s="2799" t="n"/>
      <c r="AA180" s="2842" t="n"/>
      <c r="AB180" s="2842">
        <f>' SET Cost(staf+OS)'!J252/1000</f>
        <v/>
      </c>
      <c r="AC180" s="2842" t="n"/>
      <c r="AD180" s="2799" t="n"/>
      <c r="AE180" s="2842" t="n"/>
      <c r="AF180" s="2842">
        <f>' SET Cost(staf+OS)'!K252/1000</f>
        <v/>
      </c>
      <c r="AG180" s="2842" t="n"/>
      <c r="AH180" s="2799" t="n"/>
      <c r="AI180" s="2842" t="n"/>
      <c r="AJ180" s="2842">
        <f>' SET Cost(staf+OS)'!L252/1000</f>
        <v/>
      </c>
      <c r="AK180" s="2842" t="n"/>
      <c r="AL180" s="2789" t="n"/>
      <c r="AM180" s="2842" t="n"/>
      <c r="AN180" s="2842">
        <f>' SET Cost(staf+OS)'!M252/1000</f>
        <v/>
      </c>
      <c r="AO180" s="2842" t="n"/>
      <c r="AP180" s="2789" t="n"/>
      <c r="AQ180" s="2842" t="n"/>
      <c r="AR180" s="2842">
        <f>' SET Cost(staf+OS)'!N252/1000</f>
        <v/>
      </c>
      <c r="AS180" s="2842" t="n"/>
      <c r="AT180" s="2789" t="n"/>
      <c r="AU180" s="2842" t="n"/>
      <c r="AV180" s="2842">
        <f>' SET Cost(staf+OS)'!O252/1000</f>
        <v/>
      </c>
      <c r="AW180" s="2842" t="n"/>
      <c r="AX180" s="2789" t="n"/>
      <c r="AY180" s="2841" t="n"/>
      <c r="AZ180" s="2841">
        <f>SUM(C180:AW180)</f>
        <v/>
      </c>
      <c r="BA180" s="2841" t="n"/>
      <c r="BB180" s="950" t="n"/>
      <c r="BC180" s="2802" t="n"/>
    </row>
    <row customFormat="1" outlineLevel="1" r="181" s="2216" spans="1:55">
      <c r="A181" s="2845" t="s">
        <v>367</v>
      </c>
      <c r="B181" s="2789" t="n"/>
      <c r="C181" s="2842" t="n"/>
      <c r="D181" s="2842">
        <f>' SET Cost(staf+OS)'!D253/1000</f>
        <v/>
      </c>
      <c r="E181" s="2842" t="n"/>
      <c r="F181" s="2789" t="n"/>
      <c r="G181" s="2842" t="n"/>
      <c r="H181" s="2842">
        <f>' SET Cost(staf+OS)'!E253/1000</f>
        <v/>
      </c>
      <c r="I181" s="2842" t="n"/>
      <c r="J181" s="2789" t="n"/>
      <c r="K181" s="2842" t="n"/>
      <c r="L181" s="2842">
        <f>' SET Cost(staf+OS)'!F253/1000</f>
        <v/>
      </c>
      <c r="M181" s="2842" t="n"/>
      <c r="N181" s="2799" t="n"/>
      <c r="O181" s="2842" t="n"/>
      <c r="P181" s="2842">
        <f>' SET Cost(staf+OS)'!G253/1000</f>
        <v/>
      </c>
      <c r="Q181" s="2842" t="n"/>
      <c r="R181" s="2789" t="n"/>
      <c r="S181" s="2842" t="n"/>
      <c r="T181" s="2842">
        <f>' SET Cost(staf+OS)'!H253/1000</f>
        <v/>
      </c>
      <c r="U181" s="2842" t="n"/>
      <c r="V181" s="2799" t="n"/>
      <c r="W181" s="2842" t="n"/>
      <c r="X181" s="2842">
        <f>' SET Cost(staf+OS)'!I253/1000</f>
        <v/>
      </c>
      <c r="Y181" s="2842" t="n"/>
      <c r="Z181" s="2799" t="n"/>
      <c r="AA181" s="2842" t="n"/>
      <c r="AB181" s="2842">
        <f>' SET Cost(staf+OS)'!J253/1000</f>
        <v/>
      </c>
      <c r="AC181" s="2842" t="n"/>
      <c r="AD181" s="2799" t="n"/>
      <c r="AE181" s="2842" t="n"/>
      <c r="AF181" s="2842">
        <f>' SET Cost(staf+OS)'!K253/1000</f>
        <v/>
      </c>
      <c r="AG181" s="2842" t="n"/>
      <c r="AH181" s="2799" t="n"/>
      <c r="AI181" s="2842" t="n"/>
      <c r="AJ181" s="2842">
        <f>' SET Cost(staf+OS)'!L253/1000</f>
        <v/>
      </c>
      <c r="AK181" s="2842" t="n"/>
      <c r="AL181" s="2789" t="n"/>
      <c r="AM181" s="2842" t="n"/>
      <c r="AN181" s="2842">
        <f>' SET Cost(staf+OS)'!M253/1000</f>
        <v/>
      </c>
      <c r="AO181" s="2842" t="n"/>
      <c r="AP181" s="2789" t="n"/>
      <c r="AQ181" s="2842" t="n"/>
      <c r="AR181" s="2842">
        <f>' SET Cost(staf+OS)'!N253/1000</f>
        <v/>
      </c>
      <c r="AS181" s="2842" t="n"/>
      <c r="AT181" s="2789" t="n"/>
      <c r="AU181" s="2842" t="n"/>
      <c r="AV181" s="2842">
        <f>' SET Cost(staf+OS)'!O253/1000</f>
        <v/>
      </c>
      <c r="AW181" s="2842" t="n"/>
      <c r="AX181" s="2789" t="n"/>
      <c r="AY181" s="2841" t="n"/>
      <c r="AZ181" s="2841">
        <f>SUM(C181:AW181)</f>
        <v/>
      </c>
      <c r="BA181" s="2841" t="n"/>
      <c r="BB181" s="950" t="n"/>
      <c r="BC181" s="2802" t="n"/>
    </row>
    <row customFormat="1" outlineLevel="1" r="182" s="2216" spans="1:55">
      <c r="A182" s="2845" t="s">
        <v>232</v>
      </c>
      <c r="B182" s="2789" t="n"/>
      <c r="C182" s="2842" t="n"/>
      <c r="D182" s="2842">
        <f>' SET Cost(staf+OS)'!D254/1000</f>
        <v/>
      </c>
      <c r="E182" s="2842" t="n"/>
      <c r="F182" s="2789" t="n"/>
      <c r="G182" s="2842" t="n"/>
      <c r="H182" s="2842">
        <f>' SET Cost(staf+OS)'!E254/1000</f>
        <v/>
      </c>
      <c r="I182" s="2842" t="n"/>
      <c r="J182" s="2789" t="n"/>
      <c r="K182" s="2842" t="n"/>
      <c r="L182" s="2842">
        <f>' SET Cost(staf+OS)'!F254/1000</f>
        <v/>
      </c>
      <c r="M182" s="2842" t="n"/>
      <c r="N182" s="2799" t="n"/>
      <c r="O182" s="2842" t="n"/>
      <c r="P182" s="2842">
        <f>' SET Cost(staf+OS)'!G254/1000</f>
        <v/>
      </c>
      <c r="Q182" s="2842" t="n"/>
      <c r="R182" s="2789" t="n"/>
      <c r="S182" s="2842" t="n"/>
      <c r="T182" s="2842">
        <f>' SET Cost(staf+OS)'!H254/1000</f>
        <v/>
      </c>
      <c r="U182" s="2842" t="n"/>
      <c r="V182" s="2799" t="n"/>
      <c r="W182" s="2842" t="n"/>
      <c r="X182" s="2842">
        <f>' SET Cost(staf+OS)'!I254/1000</f>
        <v/>
      </c>
      <c r="Y182" s="2842" t="n"/>
      <c r="Z182" s="2799" t="n"/>
      <c r="AA182" s="2842" t="n"/>
      <c r="AB182" s="2842">
        <f>' SET Cost(staf+OS)'!J254/1000</f>
        <v/>
      </c>
      <c r="AC182" s="2842" t="n"/>
      <c r="AD182" s="2799" t="n"/>
      <c r="AE182" s="2842" t="n"/>
      <c r="AF182" s="2842">
        <f>' SET Cost(staf+OS)'!K254/1000</f>
        <v/>
      </c>
      <c r="AG182" s="2842" t="n"/>
      <c r="AH182" s="2799" t="n"/>
      <c r="AI182" s="2842" t="n"/>
      <c r="AJ182" s="2842">
        <f>' SET Cost(staf+OS)'!L254/1000</f>
        <v/>
      </c>
      <c r="AK182" s="2842" t="n"/>
      <c r="AL182" s="2789" t="n"/>
      <c r="AM182" s="2842" t="n"/>
      <c r="AN182" s="2842">
        <f>' SET Cost(staf+OS)'!M254/1000</f>
        <v/>
      </c>
      <c r="AO182" s="2842" t="n"/>
      <c r="AP182" s="2789" t="n"/>
      <c r="AQ182" s="2842" t="n"/>
      <c r="AR182" s="2842">
        <f>' SET Cost(staf+OS)'!N254/1000</f>
        <v/>
      </c>
      <c r="AS182" s="2842" t="n"/>
      <c r="AT182" s="2789" t="n"/>
      <c r="AU182" s="2842" t="n"/>
      <c r="AV182" s="2842">
        <f>' SET Cost(staf+OS)'!O254/1000</f>
        <v/>
      </c>
      <c r="AW182" s="2842" t="n"/>
      <c r="AX182" s="2789" t="n"/>
      <c r="AY182" s="2841" t="n"/>
      <c r="AZ182" s="2841">
        <f>SUM(C182:AW182)</f>
        <v/>
      </c>
      <c r="BA182" s="2841" t="n"/>
      <c r="BB182" s="950" t="n"/>
      <c r="BC182" s="2802" t="n"/>
    </row>
    <row customFormat="1" outlineLevel="1" r="183" s="2216" spans="1:55">
      <c r="A183" s="2845" t="s">
        <v>233</v>
      </c>
      <c r="B183" s="2789" t="n"/>
      <c r="C183" s="2842" t="n"/>
      <c r="D183" s="2842">
        <f>' SET Cost(staf+OS)'!D255/1000</f>
        <v/>
      </c>
      <c r="E183" s="2842" t="n"/>
      <c r="F183" s="2789" t="n"/>
      <c r="G183" s="2842" t="n"/>
      <c r="H183" s="2842">
        <f>' SET Cost(staf+OS)'!E255/1000</f>
        <v/>
      </c>
      <c r="I183" s="2842" t="n"/>
      <c r="J183" s="2789" t="n"/>
      <c r="K183" s="2842" t="n"/>
      <c r="L183" s="2842">
        <f>' SET Cost(staf+OS)'!F255/1000</f>
        <v/>
      </c>
      <c r="M183" s="2842" t="n"/>
      <c r="N183" s="2799" t="n"/>
      <c r="O183" s="2842" t="n"/>
      <c r="P183" s="2842">
        <f>' SET Cost(staf+OS)'!G255/1000</f>
        <v/>
      </c>
      <c r="Q183" s="2842" t="n"/>
      <c r="R183" s="2789" t="n"/>
      <c r="S183" s="2842" t="n"/>
      <c r="T183" s="2842">
        <f>' SET Cost(staf+OS)'!H255/1000</f>
        <v/>
      </c>
      <c r="U183" s="2842" t="n"/>
      <c r="V183" s="2799" t="n"/>
      <c r="W183" s="2842" t="n"/>
      <c r="X183" s="2842">
        <f>' SET Cost(staf+OS)'!I255/1000</f>
        <v/>
      </c>
      <c r="Y183" s="2842" t="n"/>
      <c r="Z183" s="2799" t="n"/>
      <c r="AA183" s="2842" t="n"/>
      <c r="AB183" s="2842">
        <f>' SET Cost(staf+OS)'!J255/1000</f>
        <v/>
      </c>
      <c r="AC183" s="2842" t="n"/>
      <c r="AD183" s="2799" t="n"/>
      <c r="AE183" s="2842" t="n"/>
      <c r="AF183" s="2842">
        <f>' SET Cost(staf+OS)'!K255/1000</f>
        <v/>
      </c>
      <c r="AG183" s="2842" t="n"/>
      <c r="AH183" s="2799" t="n"/>
      <c r="AI183" s="2842" t="n"/>
      <c r="AJ183" s="2842">
        <f>' SET Cost(staf+OS)'!L255/1000</f>
        <v/>
      </c>
      <c r="AK183" s="2842" t="n"/>
      <c r="AL183" s="2789" t="n"/>
      <c r="AM183" s="2842" t="n"/>
      <c r="AN183" s="2842">
        <f>' SET Cost(staf+OS)'!M255/1000</f>
        <v/>
      </c>
      <c r="AO183" s="2842" t="n"/>
      <c r="AP183" s="2789" t="n"/>
      <c r="AQ183" s="2842" t="n"/>
      <c r="AR183" s="2842">
        <f>' SET Cost(staf+OS)'!N255/1000</f>
        <v/>
      </c>
      <c r="AS183" s="2842" t="n"/>
      <c r="AT183" s="2789" t="n"/>
      <c r="AU183" s="2842" t="n"/>
      <c r="AV183" s="2842">
        <f>' SET Cost(staf+OS)'!O255/1000</f>
        <v/>
      </c>
      <c r="AW183" s="2842" t="n"/>
      <c r="AX183" s="2789" t="n"/>
      <c r="AY183" s="2841" t="n"/>
      <c r="AZ183" s="2841">
        <f>SUM(C183:AW183)</f>
        <v/>
      </c>
      <c r="BA183" s="2841" t="n"/>
      <c r="BB183" s="950" t="n"/>
      <c r="BC183" s="2802" t="n"/>
    </row>
    <row customFormat="1" outlineLevel="1" r="184" s="2216" spans="1:55">
      <c r="A184" s="2845" t="s">
        <v>368</v>
      </c>
      <c r="B184" s="2789" t="n"/>
      <c r="C184" s="2842" t="n"/>
      <c r="D184" s="2842">
        <f>' SET Cost(staf+OS)'!D256/1000</f>
        <v/>
      </c>
      <c r="E184" s="2842" t="n"/>
      <c r="F184" s="2789" t="n"/>
      <c r="G184" s="2842" t="n"/>
      <c r="H184" s="2842">
        <f>' SET Cost(staf+OS)'!E256/1000</f>
        <v/>
      </c>
      <c r="I184" s="2842" t="n"/>
      <c r="J184" s="2789" t="n"/>
      <c r="K184" s="2842" t="n"/>
      <c r="L184" s="2842">
        <f>' SET Cost(staf+OS)'!F256/1000</f>
        <v/>
      </c>
      <c r="M184" s="2842" t="n"/>
      <c r="N184" s="2799" t="n"/>
      <c r="O184" s="2842" t="n"/>
      <c r="P184" s="2842">
        <f>' SET Cost(staf+OS)'!G256/1000</f>
        <v/>
      </c>
      <c r="Q184" s="2842" t="n"/>
      <c r="R184" s="2789" t="n"/>
      <c r="S184" s="2842" t="n"/>
      <c r="T184" s="2842">
        <f>' SET Cost(staf+OS)'!H256/1000</f>
        <v/>
      </c>
      <c r="U184" s="2842" t="n"/>
      <c r="V184" s="2799" t="n"/>
      <c r="W184" s="2842" t="n"/>
      <c r="X184" s="2842">
        <f>' SET Cost(staf+OS)'!I256/1000</f>
        <v/>
      </c>
      <c r="Y184" s="2842" t="n"/>
      <c r="Z184" s="2799" t="n"/>
      <c r="AA184" s="2842" t="n"/>
      <c r="AB184" s="2842">
        <f>' SET Cost(staf+OS)'!J256/1000</f>
        <v/>
      </c>
      <c r="AC184" s="2842" t="n"/>
      <c r="AD184" s="2799" t="n"/>
      <c r="AE184" s="2842" t="n"/>
      <c r="AF184" s="2842">
        <f>' SET Cost(staf+OS)'!K256/1000</f>
        <v/>
      </c>
      <c r="AG184" s="2842" t="n"/>
      <c r="AH184" s="2799" t="n"/>
      <c r="AI184" s="2842" t="n"/>
      <c r="AJ184" s="2842">
        <f>' SET Cost(staf+OS)'!L256/1000</f>
        <v/>
      </c>
      <c r="AK184" s="2842" t="n"/>
      <c r="AL184" s="2789" t="n"/>
      <c r="AM184" s="2842" t="n"/>
      <c r="AN184" s="2842">
        <f>' SET Cost(staf+OS)'!M256/1000</f>
        <v/>
      </c>
      <c r="AO184" s="2842" t="n"/>
      <c r="AP184" s="2789" t="n"/>
      <c r="AQ184" s="2842" t="n"/>
      <c r="AR184" s="2842">
        <f>' SET Cost(staf+OS)'!N256/1000</f>
        <v/>
      </c>
      <c r="AS184" s="2842" t="n"/>
      <c r="AT184" s="2789" t="n"/>
      <c r="AU184" s="2842" t="n"/>
      <c r="AV184" s="2842">
        <f>' SET Cost(staf+OS)'!O256/1000</f>
        <v/>
      </c>
      <c r="AW184" s="2842" t="n"/>
      <c r="AX184" s="2789" t="n"/>
      <c r="AY184" s="2841" t="n"/>
      <c r="AZ184" s="2841">
        <f>SUM(C184:AW184)</f>
        <v/>
      </c>
      <c r="BA184" s="2841" t="n"/>
      <c r="BB184" s="950" t="n"/>
      <c r="BC184" s="2802" t="n"/>
    </row>
    <row customFormat="1" outlineLevel="1" r="185" s="2216" spans="1:55">
      <c r="A185" s="2845" t="s">
        <v>369</v>
      </c>
      <c r="B185" s="2789" t="n"/>
      <c r="C185" s="2842" t="n"/>
      <c r="D185" s="2842">
        <f>' SET Cost(staf+OS)'!D257/1000</f>
        <v/>
      </c>
      <c r="E185" s="2842" t="n"/>
      <c r="F185" s="2789" t="n"/>
      <c r="G185" s="2842" t="n"/>
      <c r="H185" s="2842">
        <f>' SET Cost(staf+OS)'!E257/1000</f>
        <v/>
      </c>
      <c r="I185" s="2842" t="n"/>
      <c r="J185" s="2789" t="n"/>
      <c r="K185" s="2842" t="n"/>
      <c r="L185" s="2842">
        <f>' SET Cost(staf+OS)'!F257/1000</f>
        <v/>
      </c>
      <c r="M185" s="2842" t="n"/>
      <c r="N185" s="2799" t="n"/>
      <c r="O185" s="2842" t="n"/>
      <c r="P185" s="2842">
        <f>' SET Cost(staf+OS)'!G257/1000</f>
        <v/>
      </c>
      <c r="Q185" s="2842" t="n"/>
      <c r="R185" s="2789" t="n"/>
      <c r="S185" s="2842" t="n"/>
      <c r="T185" s="2842">
        <f>' SET Cost(staf+OS)'!H257/1000</f>
        <v/>
      </c>
      <c r="U185" s="2842" t="n"/>
      <c r="V185" s="2799" t="n"/>
      <c r="W185" s="2842" t="n"/>
      <c r="X185" s="2842">
        <f>' SET Cost(staf+OS)'!I257/1000</f>
        <v/>
      </c>
      <c r="Y185" s="2842" t="n"/>
      <c r="Z185" s="2799" t="n"/>
      <c r="AA185" s="2842" t="n"/>
      <c r="AB185" s="2842">
        <f>' SET Cost(staf+OS)'!J257/1000</f>
        <v/>
      </c>
      <c r="AC185" s="2842" t="n"/>
      <c r="AD185" s="2799" t="n"/>
      <c r="AE185" s="2842" t="n"/>
      <c r="AF185" s="2842">
        <f>' SET Cost(staf+OS)'!K257/1000</f>
        <v/>
      </c>
      <c r="AG185" s="2842" t="n"/>
      <c r="AH185" s="2799" t="n"/>
      <c r="AI185" s="2842" t="n"/>
      <c r="AJ185" s="2842">
        <f>' SET Cost(staf+OS)'!L257/1000</f>
        <v/>
      </c>
      <c r="AK185" s="2842" t="n"/>
      <c r="AL185" s="2789" t="n"/>
      <c r="AM185" s="2842" t="n"/>
      <c r="AN185" s="2842">
        <f>' SET Cost(staf+OS)'!M257/1000</f>
        <v/>
      </c>
      <c r="AO185" s="2842" t="n"/>
      <c r="AP185" s="2789" t="n"/>
      <c r="AQ185" s="2842" t="n"/>
      <c r="AR185" s="2842">
        <f>' SET Cost(staf+OS)'!N257/1000</f>
        <v/>
      </c>
      <c r="AS185" s="2842" t="n"/>
      <c r="AT185" s="2789" t="n"/>
      <c r="AU185" s="2842" t="n"/>
      <c r="AV185" s="2842">
        <f>' SET Cost(staf+OS)'!O257/1000</f>
        <v/>
      </c>
      <c r="AW185" s="2842" t="n"/>
      <c r="AX185" s="2789" t="n"/>
      <c r="AY185" s="2841" t="n"/>
      <c r="AZ185" s="2841">
        <f>SUM(C185:AW185)</f>
        <v/>
      </c>
      <c r="BA185" s="2841" t="n"/>
      <c r="BB185" s="950" t="n"/>
      <c r="BC185" s="2802" t="n"/>
    </row>
    <row customFormat="1" outlineLevel="1" r="186" s="2216" spans="1:55">
      <c r="A186" s="2845" t="s">
        <v>370</v>
      </c>
      <c r="B186" s="2789" t="n"/>
      <c r="C186" s="2842" t="n"/>
      <c r="D186" s="2842">
        <f>' SET Cost(staf+OS)'!D258/1000</f>
        <v/>
      </c>
      <c r="E186" s="2842" t="n"/>
      <c r="F186" s="2789" t="n"/>
      <c r="G186" s="2842" t="n"/>
      <c r="H186" s="2842">
        <f>' SET Cost(staf+OS)'!E258/1000</f>
        <v/>
      </c>
      <c r="I186" s="2842" t="n"/>
      <c r="J186" s="2789" t="n"/>
      <c r="K186" s="2842" t="n"/>
      <c r="L186" s="2842">
        <f>' SET Cost(staf+OS)'!F258/1000</f>
        <v/>
      </c>
      <c r="M186" s="2842" t="n"/>
      <c r="N186" s="2799" t="n"/>
      <c r="O186" s="2842" t="n"/>
      <c r="P186" s="2842">
        <f>' SET Cost(staf+OS)'!G258/1000</f>
        <v/>
      </c>
      <c r="Q186" s="2842" t="n"/>
      <c r="R186" s="2789" t="n"/>
      <c r="S186" s="2842" t="n"/>
      <c r="T186" s="2842">
        <f>' SET Cost(staf+OS)'!H258/1000</f>
        <v/>
      </c>
      <c r="U186" s="2842" t="n"/>
      <c r="V186" s="2799" t="n"/>
      <c r="W186" s="2842" t="n"/>
      <c r="X186" s="2842">
        <f>' SET Cost(staf+OS)'!I258/1000</f>
        <v/>
      </c>
      <c r="Y186" s="2842" t="n"/>
      <c r="Z186" s="2799" t="n"/>
      <c r="AA186" s="2842" t="n"/>
      <c r="AB186" s="2842">
        <f>' SET Cost(staf+OS)'!J258/1000</f>
        <v/>
      </c>
      <c r="AC186" s="2842" t="n"/>
      <c r="AD186" s="2799" t="n"/>
      <c r="AE186" s="2842" t="n"/>
      <c r="AF186" s="2842">
        <f>' SET Cost(staf+OS)'!K258/1000</f>
        <v/>
      </c>
      <c r="AG186" s="2842" t="n"/>
      <c r="AH186" s="2799" t="n"/>
      <c r="AI186" s="2842" t="n"/>
      <c r="AJ186" s="2842">
        <f>' SET Cost(staf+OS)'!L258/1000</f>
        <v/>
      </c>
      <c r="AK186" s="2842" t="n"/>
      <c r="AL186" s="2789" t="n"/>
      <c r="AM186" s="2842" t="n"/>
      <c r="AN186" s="2842">
        <f>' SET Cost(staf+OS)'!M258/1000</f>
        <v/>
      </c>
      <c r="AO186" s="2842" t="n"/>
      <c r="AP186" s="2789" t="n"/>
      <c r="AQ186" s="2842" t="n"/>
      <c r="AR186" s="2842">
        <f>' SET Cost(staf+OS)'!N258/1000</f>
        <v/>
      </c>
      <c r="AS186" s="2842" t="n"/>
      <c r="AT186" s="2789" t="n"/>
      <c r="AU186" s="2842" t="n"/>
      <c r="AV186" s="2842">
        <f>' SET Cost(staf+OS)'!O258/1000</f>
        <v/>
      </c>
      <c r="AW186" s="2842" t="n"/>
      <c r="AX186" s="2789" t="n"/>
      <c r="AY186" s="2841" t="n"/>
      <c r="AZ186" s="2841">
        <f>SUM(C186:AW186)</f>
        <v/>
      </c>
      <c r="BA186" s="2841" t="n"/>
      <c r="BB186" s="950" t="n"/>
      <c r="BC186" s="2802" t="n"/>
    </row>
    <row customFormat="1" outlineLevel="1" r="187" s="2216" spans="1:55">
      <c r="A187" s="2845" t="s">
        <v>371</v>
      </c>
      <c r="B187" s="2789" t="n"/>
      <c r="C187" s="2842" t="n"/>
      <c r="D187" s="2842">
        <f>' SET Cost(staf+OS)'!D259/1000</f>
        <v/>
      </c>
      <c r="E187" s="2842" t="n"/>
      <c r="F187" s="2789" t="n"/>
      <c r="G187" s="2842" t="n"/>
      <c r="H187" s="2842">
        <f>' SET Cost(staf+OS)'!E259/1000</f>
        <v/>
      </c>
      <c r="I187" s="2842" t="n"/>
      <c r="J187" s="2789" t="n"/>
      <c r="K187" s="2842" t="n"/>
      <c r="L187" s="2842">
        <f>' SET Cost(staf+OS)'!F259/1000</f>
        <v/>
      </c>
      <c r="M187" s="2842" t="n"/>
      <c r="N187" s="2799" t="n"/>
      <c r="O187" s="2842" t="n"/>
      <c r="P187" s="2842">
        <f>' SET Cost(staf+OS)'!G259/1000</f>
        <v/>
      </c>
      <c r="Q187" s="2842" t="n"/>
      <c r="R187" s="2789" t="n"/>
      <c r="S187" s="2842" t="n"/>
      <c r="T187" s="2842">
        <f>' SET Cost(staf+OS)'!H259/1000</f>
        <v/>
      </c>
      <c r="U187" s="2842" t="n"/>
      <c r="V187" s="2799" t="n"/>
      <c r="W187" s="2842" t="n"/>
      <c r="X187" s="2842">
        <f>' SET Cost(staf+OS)'!I259/1000</f>
        <v/>
      </c>
      <c r="Y187" s="2842" t="n"/>
      <c r="Z187" s="2799" t="n"/>
      <c r="AA187" s="2842" t="n"/>
      <c r="AB187" s="2842">
        <f>' SET Cost(staf+OS)'!J259/1000</f>
        <v/>
      </c>
      <c r="AC187" s="2842" t="n"/>
      <c r="AD187" s="2799" t="n"/>
      <c r="AE187" s="2842" t="n"/>
      <c r="AF187" s="2842">
        <f>' SET Cost(staf+OS)'!K259/1000</f>
        <v/>
      </c>
      <c r="AG187" s="2842" t="n"/>
      <c r="AH187" s="2799" t="n"/>
      <c r="AI187" s="2842" t="n"/>
      <c r="AJ187" s="2842">
        <f>' SET Cost(staf+OS)'!L259/1000</f>
        <v/>
      </c>
      <c r="AK187" s="2842" t="n"/>
      <c r="AL187" s="2789" t="n"/>
      <c r="AM187" s="2842" t="n"/>
      <c r="AN187" s="2842">
        <f>' SET Cost(staf+OS)'!M259/1000</f>
        <v/>
      </c>
      <c r="AO187" s="2842" t="n"/>
      <c r="AP187" s="2789" t="n"/>
      <c r="AQ187" s="2842" t="n"/>
      <c r="AR187" s="2842">
        <f>' SET Cost(staf+OS)'!N259/1000</f>
        <v/>
      </c>
      <c r="AS187" s="2842" t="n"/>
      <c r="AT187" s="2789" t="n"/>
      <c r="AU187" s="2842" t="n"/>
      <c r="AV187" s="2842">
        <f>' SET Cost(staf+OS)'!O259/1000</f>
        <v/>
      </c>
      <c r="AW187" s="2842" t="n"/>
      <c r="AX187" s="2789" t="n"/>
      <c r="AY187" s="2841" t="n"/>
      <c r="AZ187" s="2841">
        <f>SUM(C187:AW187)</f>
        <v/>
      </c>
      <c r="BA187" s="2841" t="n"/>
      <c r="BB187" s="950" t="n"/>
      <c r="BC187" s="2802" t="n"/>
    </row>
    <row customFormat="1" outlineLevel="1" r="188" s="2216" spans="1:55">
      <c r="A188" s="2845" t="s">
        <v>372</v>
      </c>
      <c r="B188" s="2789" t="n"/>
      <c r="C188" s="2842" t="n"/>
      <c r="D188" s="2842">
        <f>' SET Cost(staf+OS)'!D260/1000</f>
        <v/>
      </c>
      <c r="E188" s="2842" t="n"/>
      <c r="F188" s="2789" t="n"/>
      <c r="G188" s="2842" t="n"/>
      <c r="H188" s="2842">
        <f>' SET Cost(staf+OS)'!E260/1000</f>
        <v/>
      </c>
      <c r="I188" s="2842" t="n"/>
      <c r="J188" s="2789" t="n"/>
      <c r="K188" s="2842" t="n"/>
      <c r="L188" s="2842">
        <f>' SET Cost(staf+OS)'!F260/1000</f>
        <v/>
      </c>
      <c r="M188" s="2842" t="n"/>
      <c r="N188" s="2799" t="n"/>
      <c r="O188" s="2842" t="n"/>
      <c r="P188" s="2842">
        <f>' SET Cost(staf+OS)'!G260/1000</f>
        <v/>
      </c>
      <c r="Q188" s="2842" t="n"/>
      <c r="R188" s="2789" t="n"/>
      <c r="S188" s="2842" t="n"/>
      <c r="T188" s="2842">
        <f>' SET Cost(staf+OS)'!H260/1000</f>
        <v/>
      </c>
      <c r="U188" s="2842" t="n"/>
      <c r="V188" s="2799" t="n"/>
      <c r="W188" s="2842" t="n"/>
      <c r="X188" s="2842">
        <f>' SET Cost(staf+OS)'!I260/1000</f>
        <v/>
      </c>
      <c r="Y188" s="2842" t="n"/>
      <c r="Z188" s="2799" t="n"/>
      <c r="AA188" s="2842" t="n"/>
      <c r="AB188" s="2842">
        <f>' SET Cost(staf+OS)'!J260/1000</f>
        <v/>
      </c>
      <c r="AC188" s="2842" t="n"/>
      <c r="AD188" s="2799" t="n"/>
      <c r="AE188" s="2842" t="n"/>
      <c r="AF188" s="2842">
        <f>' SET Cost(staf+OS)'!K260/1000</f>
        <v/>
      </c>
      <c r="AG188" s="2842" t="n"/>
      <c r="AH188" s="2799" t="n"/>
      <c r="AI188" s="2842" t="n"/>
      <c r="AJ188" s="2842">
        <f>' SET Cost(staf+OS)'!L260/1000</f>
        <v/>
      </c>
      <c r="AK188" s="2842" t="n"/>
      <c r="AL188" s="2789" t="n"/>
      <c r="AM188" s="2842" t="n"/>
      <c r="AN188" s="2842">
        <f>' SET Cost(staf+OS)'!M260/1000</f>
        <v/>
      </c>
      <c r="AO188" s="2842" t="n"/>
      <c r="AP188" s="2789" t="n"/>
      <c r="AQ188" s="2842" t="n"/>
      <c r="AR188" s="2842">
        <f>' SET Cost(staf+OS)'!N260/1000</f>
        <v/>
      </c>
      <c r="AS188" s="2842" t="n"/>
      <c r="AT188" s="2789" t="n"/>
      <c r="AU188" s="2842" t="n"/>
      <c r="AV188" s="2842">
        <f>' SET Cost(staf+OS)'!O260/1000</f>
        <v/>
      </c>
      <c r="AW188" s="2842" t="n"/>
      <c r="AX188" s="2789" t="n"/>
      <c r="AY188" s="2841" t="n"/>
      <c r="AZ188" s="2841">
        <f>SUM(C188:AW188)</f>
        <v/>
      </c>
      <c r="BA188" s="2841" t="n"/>
      <c r="BB188" s="950" t="n"/>
      <c r="BC188" s="2802" t="n"/>
    </row>
    <row customFormat="1" outlineLevel="1" r="189" s="2216" spans="1:55">
      <c r="A189" s="2845" t="s">
        <v>89</v>
      </c>
      <c r="B189" s="2789" t="n"/>
      <c r="C189" s="2842">
        <f>'FY18 SET'!G23/1000</f>
        <v/>
      </c>
      <c r="D189" s="2842" t="n"/>
      <c r="E189" s="2842" t="n"/>
      <c r="F189" s="2789" t="n"/>
      <c r="G189" s="2842">
        <f>'FY18 SET'!H23/1000</f>
        <v/>
      </c>
      <c r="H189" s="2842" t="n"/>
      <c r="I189" s="2842" t="n"/>
      <c r="J189" s="2789" t="n"/>
      <c r="K189" s="2842">
        <f>'FY18 SET'!I23/1000</f>
        <v/>
      </c>
      <c r="L189" s="2842" t="n"/>
      <c r="M189" s="2842" t="n"/>
      <c r="N189" s="2799" t="n"/>
      <c r="O189" s="2842">
        <f>'FY18 SET'!J23/1000</f>
        <v/>
      </c>
      <c r="P189" s="2842" t="n"/>
      <c r="Q189" s="2842" t="n"/>
      <c r="R189" s="2789" t="n"/>
      <c r="S189" s="2842">
        <f>'FY18 SET'!K23/1000</f>
        <v/>
      </c>
      <c r="T189" s="2842" t="n"/>
      <c r="U189" s="2842" t="n"/>
      <c r="V189" s="2799" t="n"/>
      <c r="W189" s="2842">
        <f>'FY18 SET'!L23/1000</f>
        <v/>
      </c>
      <c r="X189" s="2842" t="n"/>
      <c r="Y189" s="2842" t="n"/>
      <c r="Z189" s="2799" t="n"/>
      <c r="AA189" s="2842">
        <f>'FY18 SET'!N23/1000</f>
        <v/>
      </c>
      <c r="AB189" s="2842" t="n"/>
      <c r="AC189" s="2842" t="n"/>
      <c r="AD189" s="2799" t="n"/>
      <c r="AE189" s="2842">
        <f>'FY18 SET'!O23/1000</f>
        <v/>
      </c>
      <c r="AF189" s="2842" t="n"/>
      <c r="AG189" s="2842" t="n"/>
      <c r="AH189" s="2799" t="n"/>
      <c r="AI189" s="2842">
        <f>'FY18 SET'!P23/1000</f>
        <v/>
      </c>
      <c r="AJ189" s="2842" t="n"/>
      <c r="AK189" s="2842" t="n"/>
      <c r="AL189" s="2789" t="n"/>
      <c r="AM189" s="2842">
        <f>'FY18 SET'!Q23/1000</f>
        <v/>
      </c>
      <c r="AN189" s="2842" t="n"/>
      <c r="AO189" s="2842" t="n"/>
      <c r="AP189" s="2789" t="n"/>
      <c r="AQ189" s="2842">
        <f>'FY18 SET'!R23/1000</f>
        <v/>
      </c>
      <c r="AR189" s="2842" t="n"/>
      <c r="AS189" s="2842" t="n"/>
      <c r="AT189" s="2789" t="n"/>
      <c r="AU189" s="2842">
        <f>'FY18 SET'!S23/1000</f>
        <v/>
      </c>
      <c r="AV189" s="2842" t="n"/>
      <c r="AW189" s="2842" t="n"/>
      <c r="AX189" s="2789" t="n"/>
      <c r="AY189" s="2841">
        <f>SUM(B189:AV189)</f>
        <v/>
      </c>
      <c r="AZ189" s="2841" t="n"/>
      <c r="BA189" s="2841" t="n"/>
    </row>
    <row customFormat="1" customHeight="1" ht="17.25" outlineLevel="1" r="190" s="2216" spans="1:55">
      <c r="A190" s="2845" t="s">
        <v>153</v>
      </c>
      <c r="B190" s="2789" t="n"/>
      <c r="C190" s="2841" t="n"/>
      <c r="D190" s="2841" t="n"/>
      <c r="E190" s="2841">
        <f>SUM(C172:C190)-SUM(D172:D190)</f>
        <v/>
      </c>
      <c r="F190" s="2789" t="n"/>
      <c r="G190" s="2841" t="n"/>
      <c r="H190" s="2841" t="n"/>
      <c r="I190" s="2841">
        <f>SUM(G172:G190)-SUM(H172:H190)</f>
        <v/>
      </c>
      <c r="J190" s="2789" t="n"/>
      <c r="K190" s="2841" t="n"/>
      <c r="L190" s="2841" t="n"/>
      <c r="M190" s="2841">
        <f>SUM(K172:K190)-SUM(L172:L190)</f>
        <v/>
      </c>
      <c r="N190" s="2839" t="n"/>
      <c r="O190" s="2841" t="n"/>
      <c r="P190" s="2841" t="n"/>
      <c r="Q190" s="2841">
        <f>SUM(O172:O190)-SUM(P172:P190)</f>
        <v/>
      </c>
      <c r="R190" s="2789" t="n"/>
      <c r="S190" s="2841" t="n"/>
      <c r="T190" s="2841" t="n"/>
      <c r="U190" s="2841">
        <f>SUM(S172:S190)-SUM(T172:T190)</f>
        <v/>
      </c>
      <c r="V190" s="2839" t="n"/>
      <c r="W190" s="2841" t="n"/>
      <c r="X190" s="2841" t="n"/>
      <c r="Y190" s="2841">
        <f>SUM(W172:W190)-SUM(X172:X190)</f>
        <v/>
      </c>
      <c r="Z190" s="2839" t="n"/>
      <c r="AA190" s="2841" t="n"/>
      <c r="AB190" s="2841" t="n"/>
      <c r="AC190" s="2841">
        <f>SUM(AA172:AA190)-SUM(AB172:AB190)</f>
        <v/>
      </c>
      <c r="AD190" s="2839" t="n"/>
      <c r="AE190" s="2841" t="n"/>
      <c r="AF190" s="2841" t="n"/>
      <c r="AG190" s="2841">
        <f>SUM(AE172:AE190)-SUM(AF172:AF190)</f>
        <v/>
      </c>
      <c r="AH190" s="2839" t="n"/>
      <c r="AI190" s="2841" t="n"/>
      <c r="AJ190" s="2841" t="n"/>
      <c r="AK190" s="2841">
        <f>SUM(AI172:AI190)-SUM(AJ172:AJ190)</f>
        <v/>
      </c>
      <c r="AL190" s="2789" t="n"/>
      <c r="AM190" s="2841" t="n"/>
      <c r="AN190" s="2841" t="n"/>
      <c r="AO190" s="2841">
        <f>SUM(AM172:AM190)-SUM(AN172:AN190)</f>
        <v/>
      </c>
      <c r="AP190" s="2789" t="n"/>
      <c r="AQ190" s="2841" t="n"/>
      <c r="AR190" s="2841" t="n"/>
      <c r="AS190" s="2841">
        <f>SUM(AQ172:AQ190)-SUM(AR172:AR190)</f>
        <v/>
      </c>
      <c r="AT190" s="2789" t="n"/>
      <c r="AU190" s="2841" t="n"/>
      <c r="AV190" s="2841" t="n"/>
      <c r="AW190" s="2841">
        <f>SUM(AU172:AU190)-SUM(AV172:AV190)</f>
        <v/>
      </c>
      <c r="AX190" s="2789" t="n"/>
      <c r="AY190" s="2841" t="n"/>
      <c r="AZ190" s="2841" t="n"/>
      <c r="BA190" s="2841">
        <f>SUM(D190:AY190)</f>
        <v/>
      </c>
    </row>
    <row customFormat="1" outlineLevel="1" r="191" s="2802" spans="1:55">
      <c r="A191" s="2847" t="s">
        <v>173</v>
      </c>
      <c r="B191" s="2806" t="n"/>
      <c r="C191" s="2848">
        <f>SUM(C172:C190)</f>
        <v/>
      </c>
      <c r="D191" s="2848">
        <f>SUM(D172:D190)</f>
        <v/>
      </c>
      <c r="E191" s="2848">
        <f>SUM(E190:E190)</f>
        <v/>
      </c>
      <c r="F191" s="2806" t="n"/>
      <c r="G191" s="2848">
        <f>SUM(G172:G190)</f>
        <v/>
      </c>
      <c r="H191" s="2848">
        <f>SUM(H172:H190)</f>
        <v/>
      </c>
      <c r="I191" s="2848">
        <f>SUM(I190:I190)</f>
        <v/>
      </c>
      <c r="J191" s="2806" t="n"/>
      <c r="K191" s="2848">
        <f>SUM(K172:K190)</f>
        <v/>
      </c>
      <c r="L191" s="2848">
        <f>SUM(L172:L190)</f>
        <v/>
      </c>
      <c r="M191" s="2848">
        <f>SUM(M190:M190)</f>
        <v/>
      </c>
      <c r="O191" s="2848">
        <f>SUM(O172:O190)</f>
        <v/>
      </c>
      <c r="P191" s="2848">
        <f>SUM(P172:P190)</f>
        <v/>
      </c>
      <c r="Q191" s="2848">
        <f>SUM(Q190:Q190)</f>
        <v/>
      </c>
      <c r="R191" s="2806" t="n"/>
      <c r="S191" s="2848">
        <f>SUM(S172:S190)</f>
        <v/>
      </c>
      <c r="T191" s="2848">
        <f>SUM(T172:T190)</f>
        <v/>
      </c>
      <c r="U191" s="2848">
        <f>SUM(U190:U190)</f>
        <v/>
      </c>
      <c r="W191" s="2848">
        <f>SUM(W172:W190)</f>
        <v/>
      </c>
      <c r="X191" s="2848">
        <f>SUM(X172:X190)</f>
        <v/>
      </c>
      <c r="Y191" s="2848">
        <f>SUM(Y190:Y190)</f>
        <v/>
      </c>
      <c r="AA191" s="2848">
        <f>SUM(AA172:AA190)</f>
        <v/>
      </c>
      <c r="AB191" s="2848">
        <f>SUM(AB172:AB190)</f>
        <v/>
      </c>
      <c r="AC191" s="2848">
        <f>SUM(AC190:AC190)</f>
        <v/>
      </c>
      <c r="AE191" s="2848">
        <f>SUM(AE172:AE190)</f>
        <v/>
      </c>
      <c r="AF191" s="2848">
        <f>SUM(AF172:AF190)</f>
        <v/>
      </c>
      <c r="AG191" s="2848">
        <f>SUM(AG190:AG190)</f>
        <v/>
      </c>
      <c r="AI191" s="2848">
        <f>SUM(AI172:AI190)</f>
        <v/>
      </c>
      <c r="AJ191" s="2848">
        <f>SUM(AJ172:AJ190)</f>
        <v/>
      </c>
      <c r="AK191" s="2848">
        <f>SUM(AK190:AK190)</f>
        <v/>
      </c>
      <c r="AL191" s="2806" t="n"/>
      <c r="AM191" s="2848">
        <f>SUM(AM172:AM190)</f>
        <v/>
      </c>
      <c r="AN191" s="2848">
        <f>SUM(AN172:AN190)</f>
        <v/>
      </c>
      <c r="AO191" s="2848">
        <f>SUM(AO190:AO190)</f>
        <v/>
      </c>
      <c r="AP191" s="2806" t="n"/>
      <c r="AQ191" s="2848">
        <f>SUM(AQ172:AQ190)</f>
        <v/>
      </c>
      <c r="AR191" s="2848">
        <f>SUM(AR172:AR190)</f>
        <v/>
      </c>
      <c r="AS191" s="2848">
        <f>SUM(AS190:AS190)</f>
        <v/>
      </c>
      <c r="AT191" s="2806" t="n"/>
      <c r="AU191" s="2848">
        <f>SUM(AU172:AU190)</f>
        <v/>
      </c>
      <c r="AV191" s="2848">
        <f>SUM(AV172:AV190)</f>
        <v/>
      </c>
      <c r="AW191" s="2848">
        <f>SUM(AW190:AW190)</f>
        <v/>
      </c>
      <c r="AX191" s="2806" t="n"/>
      <c r="AY191" s="2847">
        <f>SUM(AY172:AY190)</f>
        <v/>
      </c>
      <c r="AZ191" s="2847">
        <f>SUM(AZ172:AZ188)</f>
        <v/>
      </c>
      <c r="BA191" s="2847">
        <f>SUM(BA190:BA190)</f>
        <v/>
      </c>
    </row>
    <row customFormat="1" outlineLevel="1" r="192" s="2808" spans="1:55">
      <c r="A192" s="2847" t="s">
        <v>384</v>
      </c>
      <c r="B192" s="2806" t="n"/>
      <c r="C192" s="2848" t="n"/>
      <c r="D192" s="2848" t="n"/>
      <c r="E192" s="2849">
        <f>E191/C191</f>
        <v/>
      </c>
      <c r="F192" s="2806" t="n"/>
      <c r="G192" s="2848" t="n"/>
      <c r="H192" s="2848" t="n"/>
      <c r="I192" s="2849">
        <f>I191/G191</f>
        <v/>
      </c>
      <c r="J192" s="2806" t="n"/>
      <c r="K192" s="2848" t="n"/>
      <c r="L192" s="2848" t="n"/>
      <c r="M192" s="2849">
        <f>M191/K191</f>
        <v/>
      </c>
      <c r="O192" s="2848" t="n"/>
      <c r="P192" s="2848" t="n"/>
      <c r="Q192" s="2849">
        <f>Q191/O191</f>
        <v/>
      </c>
      <c r="R192" s="2806" t="n"/>
      <c r="S192" s="2848" t="n"/>
      <c r="T192" s="2848" t="n"/>
      <c r="U192" s="2849">
        <f>U191/S191</f>
        <v/>
      </c>
      <c r="W192" s="2848" t="n"/>
      <c r="X192" s="2848" t="n"/>
      <c r="Y192" s="2849">
        <f>Y191/W191</f>
        <v/>
      </c>
      <c r="AA192" s="2848" t="n"/>
      <c r="AB192" s="2848" t="n"/>
      <c r="AC192" s="2849">
        <f>AC191/AA191</f>
        <v/>
      </c>
      <c r="AE192" s="2848" t="n"/>
      <c r="AF192" s="2848" t="n"/>
      <c r="AG192" s="2849">
        <f>AG191/AE191</f>
        <v/>
      </c>
      <c r="AI192" s="2848" t="n"/>
      <c r="AJ192" s="2848" t="n"/>
      <c r="AK192" s="2849">
        <f>AK191/AI191</f>
        <v/>
      </c>
      <c r="AL192" s="2806" t="n"/>
      <c r="AM192" s="2848" t="n"/>
      <c r="AN192" s="2848" t="n"/>
      <c r="AO192" s="2849">
        <f>AO191/AM191</f>
        <v/>
      </c>
      <c r="AP192" s="2806" t="n"/>
      <c r="AQ192" s="2848" t="n"/>
      <c r="AR192" s="2848" t="n"/>
      <c r="AS192" s="2849">
        <f>AS191/AQ191</f>
        <v/>
      </c>
      <c r="AT192" s="2806" t="n"/>
      <c r="AU192" s="2848" t="n"/>
      <c r="AV192" s="2848" t="n"/>
      <c r="AW192" s="2849">
        <f>AW191/AU191</f>
        <v/>
      </c>
      <c r="AX192" s="2806" t="n"/>
      <c r="AY192" s="2847" t="n"/>
      <c r="AZ192" s="2847" t="n"/>
      <c r="BA192" s="2849">
        <f>BA191/AY191</f>
        <v/>
      </c>
    </row>
    <row customFormat="1" outlineLevel="1" r="193" s="2808" spans="1:55">
      <c r="A193" s="2853" t="n"/>
      <c r="B193" s="2806" t="n"/>
      <c r="C193" s="2835" t="n"/>
      <c r="E193" s="2836" t="n"/>
      <c r="F193" s="2806" t="n"/>
      <c r="I193" s="2836" t="n"/>
      <c r="J193" s="2806" t="n"/>
      <c r="M193" s="2836" t="n"/>
      <c r="Q193" s="2836" t="n"/>
      <c r="R193" s="2806" t="n"/>
      <c r="U193" s="2836" t="n"/>
      <c r="Y193" s="2836" t="n"/>
      <c r="AC193" s="2836" t="n"/>
      <c r="AG193" s="2836" t="n"/>
      <c r="AK193" s="2836" t="n"/>
      <c r="AL193" s="2806" t="n"/>
      <c r="AO193" s="2836" t="n"/>
      <c r="AP193" s="2806" t="n"/>
      <c r="AS193" s="2836" t="n"/>
      <c r="AT193" s="2806" t="n"/>
      <c r="AW193" s="2836" t="n"/>
      <c r="AX193" s="2806" t="n"/>
      <c r="AY193" s="2806" t="n"/>
      <c r="AZ193" s="2806" t="n"/>
      <c r="BA193" s="2836" t="n"/>
    </row>
    <row customFormat="1" outlineLevel="1" r="194" s="2216" spans="1:55">
      <c r="A194" s="2854" t="s">
        <v>104</v>
      </c>
      <c r="B194" s="2781" t="n"/>
      <c r="C194" s="2855" t="s">
        <v>62</v>
      </c>
      <c r="F194" s="2781" t="n"/>
      <c r="G194" s="2855" t="s">
        <v>63</v>
      </c>
      <c r="J194" s="2781" t="n"/>
      <c r="K194" s="2855" t="s">
        <v>64</v>
      </c>
      <c r="N194" s="2799" t="n"/>
      <c r="O194" s="2855" t="s">
        <v>174</v>
      </c>
      <c r="R194" s="2781" t="n"/>
      <c r="S194" s="2855" t="s">
        <v>66</v>
      </c>
      <c r="V194" s="2799" t="n"/>
      <c r="W194" s="2855" t="s">
        <v>67</v>
      </c>
      <c r="Z194" s="2799" t="n"/>
      <c r="AA194" s="2855" t="s">
        <v>69</v>
      </c>
      <c r="AD194" s="2799" t="n"/>
      <c r="AE194" s="2855" t="s">
        <v>70</v>
      </c>
      <c r="AH194" s="2799" t="n"/>
      <c r="AI194" s="2855" t="s">
        <v>71</v>
      </c>
      <c r="AL194" s="2781" t="n"/>
      <c r="AM194" s="2855" t="s">
        <v>72</v>
      </c>
      <c r="AP194" s="2781" t="n"/>
      <c r="AQ194" s="2855" t="s">
        <v>73</v>
      </c>
      <c r="AT194" s="2781" t="n"/>
      <c r="AU194" s="2855" t="s">
        <v>74</v>
      </c>
      <c r="AX194" s="2781" t="n"/>
      <c r="AY194" s="2855" t="s">
        <v>173</v>
      </c>
    </row>
    <row customFormat="1" outlineLevel="1" r="195" s="2216" spans="1:55">
      <c r="A195" s="2856" t="n"/>
      <c r="B195" s="2785" t="n"/>
      <c r="C195" s="2856" t="s">
        <v>89</v>
      </c>
      <c r="D195" s="2856" t="s">
        <v>152</v>
      </c>
      <c r="E195" s="2856" t="s">
        <v>153</v>
      </c>
      <c r="F195" s="2785" t="n"/>
      <c r="G195" s="2856" t="s">
        <v>89</v>
      </c>
      <c r="H195" s="2856" t="s">
        <v>152</v>
      </c>
      <c r="I195" s="2856" t="s">
        <v>153</v>
      </c>
      <c r="J195" s="2785" t="n"/>
      <c r="K195" s="2856" t="s">
        <v>89</v>
      </c>
      <c r="L195" s="2856" t="s">
        <v>152</v>
      </c>
      <c r="M195" s="2856" t="s">
        <v>153</v>
      </c>
      <c r="N195" s="2799" t="n"/>
      <c r="O195" s="2856" t="s">
        <v>89</v>
      </c>
      <c r="P195" s="2856" t="s">
        <v>152</v>
      </c>
      <c r="Q195" s="2856" t="s">
        <v>153</v>
      </c>
      <c r="R195" s="2785" t="n"/>
      <c r="S195" s="2856" t="s">
        <v>89</v>
      </c>
      <c r="T195" s="2856" t="s">
        <v>152</v>
      </c>
      <c r="U195" s="2856" t="s">
        <v>153</v>
      </c>
      <c r="V195" s="2799" t="n"/>
      <c r="W195" s="2856" t="s">
        <v>89</v>
      </c>
      <c r="X195" s="2856" t="s">
        <v>152</v>
      </c>
      <c r="Y195" s="2856" t="s">
        <v>153</v>
      </c>
      <c r="Z195" s="2799" t="n"/>
      <c r="AA195" s="2856" t="s">
        <v>89</v>
      </c>
      <c r="AB195" s="2856" t="s">
        <v>152</v>
      </c>
      <c r="AC195" s="2856" t="s">
        <v>153</v>
      </c>
      <c r="AD195" s="2799" t="n"/>
      <c r="AE195" s="2856" t="s">
        <v>89</v>
      </c>
      <c r="AF195" s="2856" t="s">
        <v>152</v>
      </c>
      <c r="AG195" s="2856" t="s">
        <v>153</v>
      </c>
      <c r="AH195" s="2799" t="n"/>
      <c r="AI195" s="2856" t="s">
        <v>89</v>
      </c>
      <c r="AJ195" s="2856" t="s">
        <v>152</v>
      </c>
      <c r="AK195" s="2856" t="s">
        <v>153</v>
      </c>
      <c r="AL195" s="2785" t="n"/>
      <c r="AM195" s="2856" t="s">
        <v>89</v>
      </c>
      <c r="AN195" s="2856" t="s">
        <v>152</v>
      </c>
      <c r="AO195" s="2856" t="s">
        <v>153</v>
      </c>
      <c r="AP195" s="2785" t="n"/>
      <c r="AQ195" s="2856" t="s">
        <v>89</v>
      </c>
      <c r="AR195" s="2856" t="s">
        <v>152</v>
      </c>
      <c r="AS195" s="2856" t="s">
        <v>153</v>
      </c>
      <c r="AT195" s="2785" t="n"/>
      <c r="AU195" s="2856" t="s">
        <v>89</v>
      </c>
      <c r="AV195" s="2856" t="s">
        <v>152</v>
      </c>
      <c r="AW195" s="2856" t="s">
        <v>153</v>
      </c>
      <c r="AX195" s="2785" t="n"/>
      <c r="AY195" s="2856" t="s">
        <v>89</v>
      </c>
      <c r="AZ195" s="2856" t="s">
        <v>152</v>
      </c>
      <c r="BA195" s="2856" t="s">
        <v>153</v>
      </c>
    </row>
    <row customFormat="1" outlineLevel="1" r="196" s="2216" spans="1:55">
      <c r="A196" s="2857" t="s">
        <v>187</v>
      </c>
      <c r="B196" s="2789" t="n"/>
      <c r="C196" s="2857" t="n"/>
      <c r="D196" s="2857">
        <f>D220+D244</f>
        <v/>
      </c>
      <c r="E196" s="2857" t="n"/>
      <c r="F196" s="2789" t="n"/>
      <c r="G196" s="2857" t="n"/>
      <c r="H196" s="2857">
        <f>H220+H244</f>
        <v/>
      </c>
      <c r="I196" s="2857" t="n"/>
      <c r="J196" s="2789" t="n"/>
      <c r="K196" s="2857" t="n"/>
      <c r="L196" s="2857">
        <f>L220+L244</f>
        <v/>
      </c>
      <c r="M196" s="2857" t="n"/>
      <c r="N196" s="2799" t="n"/>
      <c r="O196" s="2857" t="n"/>
      <c r="P196" s="2857">
        <f>P220+P244</f>
        <v/>
      </c>
      <c r="Q196" s="2857" t="n"/>
      <c r="R196" s="2789" t="n"/>
      <c r="S196" s="2857" t="n"/>
      <c r="T196" s="2857">
        <f>T220+T244</f>
        <v/>
      </c>
      <c r="U196" s="2857" t="n"/>
      <c r="V196" s="2799" t="n"/>
      <c r="W196" s="2857" t="n"/>
      <c r="X196" s="2857">
        <f>X220+X244</f>
        <v/>
      </c>
      <c r="Y196" s="2857" t="n"/>
      <c r="Z196" s="2799" t="n"/>
      <c r="AA196" s="2857" t="n"/>
      <c r="AB196" s="2857">
        <f>AB220+AB244</f>
        <v/>
      </c>
      <c r="AC196" s="2857" t="n"/>
      <c r="AD196" s="2799" t="n"/>
      <c r="AE196" s="2857" t="n"/>
      <c r="AF196" s="2857">
        <f>AF220+AF244</f>
        <v/>
      </c>
      <c r="AG196" s="2857" t="n"/>
      <c r="AH196" s="2799" t="n"/>
      <c r="AI196" s="2857" t="n"/>
      <c r="AJ196" s="2857">
        <f>AJ220+AJ244</f>
        <v/>
      </c>
      <c r="AK196" s="2857" t="n"/>
      <c r="AL196" s="2789" t="n"/>
      <c r="AM196" s="2857" t="n"/>
      <c r="AN196" s="2857">
        <f>AN220+AN244</f>
        <v/>
      </c>
      <c r="AO196" s="2857" t="n"/>
      <c r="AP196" s="2789" t="n"/>
      <c r="AQ196" s="2857" t="n"/>
      <c r="AR196" s="2857">
        <f>AR220+AR244</f>
        <v/>
      </c>
      <c r="AS196" s="2857" t="n"/>
      <c r="AT196" s="2789" t="n"/>
      <c r="AU196" s="2857" t="n"/>
      <c r="AV196" s="2857">
        <f>AV220+AV244</f>
        <v/>
      </c>
      <c r="AW196" s="2857" t="n"/>
      <c r="AX196" s="2789" t="n"/>
      <c r="AY196" s="2857" t="n"/>
      <c r="AZ196" s="2857">
        <f>SUM(C196:AW196)</f>
        <v/>
      </c>
      <c r="BA196" s="2857" t="n"/>
    </row>
    <row customFormat="1" outlineLevel="1" r="197" s="2216" spans="1:55">
      <c r="A197" s="2857" t="s">
        <v>189</v>
      </c>
      <c r="B197" s="2789" t="n"/>
      <c r="C197" s="2858" t="n"/>
      <c r="D197" s="2857">
        <f>D221+D245</f>
        <v/>
      </c>
      <c r="E197" s="2858" t="n"/>
      <c r="F197" s="2789" t="n"/>
      <c r="G197" s="2858" t="n"/>
      <c r="H197" s="2857">
        <f>H221+H245</f>
        <v/>
      </c>
      <c r="I197" s="2858" t="n"/>
      <c r="J197" s="2789" t="n"/>
      <c r="K197" s="2858" t="n"/>
      <c r="L197" s="2857">
        <f>L221+L245</f>
        <v/>
      </c>
      <c r="M197" s="2858" t="n"/>
      <c r="N197" s="2799" t="n"/>
      <c r="O197" s="2858" t="n"/>
      <c r="P197" s="2857">
        <f>P221+P245</f>
        <v/>
      </c>
      <c r="Q197" s="2858" t="n"/>
      <c r="R197" s="2789" t="n"/>
      <c r="S197" s="2858" t="n"/>
      <c r="T197" s="2857">
        <f>T221+T245</f>
        <v/>
      </c>
      <c r="U197" s="2858" t="n"/>
      <c r="V197" s="2799" t="n"/>
      <c r="W197" s="2858" t="n"/>
      <c r="X197" s="2857">
        <f>X221+X245</f>
        <v/>
      </c>
      <c r="Y197" s="2858" t="n"/>
      <c r="Z197" s="2799" t="n"/>
      <c r="AA197" s="2858" t="n"/>
      <c r="AB197" s="2857">
        <f>AB221+AB245</f>
        <v/>
      </c>
      <c r="AC197" s="2858" t="n"/>
      <c r="AD197" s="2799" t="n"/>
      <c r="AE197" s="2858" t="n"/>
      <c r="AF197" s="2857">
        <f>AF221+AF245</f>
        <v/>
      </c>
      <c r="AG197" s="2858" t="n"/>
      <c r="AH197" s="2799" t="n"/>
      <c r="AI197" s="2858" t="n"/>
      <c r="AJ197" s="2857">
        <f>AJ221+AJ245</f>
        <v/>
      </c>
      <c r="AK197" s="2858" t="n"/>
      <c r="AL197" s="2789" t="n"/>
      <c r="AM197" s="2858" t="n"/>
      <c r="AN197" s="2857">
        <f>AN221+AN245</f>
        <v/>
      </c>
      <c r="AO197" s="2858" t="n"/>
      <c r="AP197" s="2789" t="n"/>
      <c r="AQ197" s="2858" t="n"/>
      <c r="AR197" s="2857">
        <f>AR221+AR245</f>
        <v/>
      </c>
      <c r="AS197" s="2858" t="n"/>
      <c r="AT197" s="2789" t="n"/>
      <c r="AU197" s="2858" t="n"/>
      <c r="AV197" s="2857">
        <f>AV221+AV245</f>
        <v/>
      </c>
      <c r="AW197" s="2858" t="n"/>
      <c r="AX197" s="2789" t="n"/>
      <c r="AY197" s="2858" t="n"/>
      <c r="AZ197" s="2857">
        <f>SUM(C197:AW197)</f>
        <v/>
      </c>
      <c r="BA197" s="2858" t="n"/>
    </row>
    <row customFormat="1" outlineLevel="1" r="198" s="2216" spans="1:55">
      <c r="A198" s="2857" t="s">
        <v>252</v>
      </c>
      <c r="B198" s="2789" t="n"/>
      <c r="C198" s="2858" t="n"/>
      <c r="D198" s="2857">
        <f>D222+D246</f>
        <v/>
      </c>
      <c r="E198" s="2858" t="n"/>
      <c r="F198" s="2789" t="n"/>
      <c r="G198" s="2858" t="n"/>
      <c r="H198" s="2857">
        <f>H222+H246</f>
        <v/>
      </c>
      <c r="I198" s="2858" t="n"/>
      <c r="J198" s="2789" t="n"/>
      <c r="K198" s="2858" t="n"/>
      <c r="L198" s="2857">
        <f>L222+L246</f>
        <v/>
      </c>
      <c r="M198" s="2858" t="n"/>
      <c r="N198" s="2799" t="n"/>
      <c r="O198" s="2858" t="n"/>
      <c r="P198" s="2857">
        <f>P222+P246</f>
        <v/>
      </c>
      <c r="Q198" s="2858" t="n"/>
      <c r="R198" s="2789" t="n"/>
      <c r="S198" s="2858" t="n"/>
      <c r="T198" s="2857">
        <f>T222+T246</f>
        <v/>
      </c>
      <c r="U198" s="2858" t="n"/>
      <c r="V198" s="2799" t="n"/>
      <c r="W198" s="2858" t="n"/>
      <c r="X198" s="2857">
        <f>X222+X246</f>
        <v/>
      </c>
      <c r="Y198" s="2858" t="n"/>
      <c r="Z198" s="2799" t="n"/>
      <c r="AA198" s="2858" t="n"/>
      <c r="AB198" s="2857">
        <f>AB222+AB246</f>
        <v/>
      </c>
      <c r="AC198" s="2858" t="n"/>
      <c r="AD198" s="2799" t="n"/>
      <c r="AE198" s="2858" t="n"/>
      <c r="AF198" s="2857">
        <f>AF222+AF246</f>
        <v/>
      </c>
      <c r="AG198" s="2858" t="n"/>
      <c r="AH198" s="2799" t="n"/>
      <c r="AI198" s="2858" t="n"/>
      <c r="AJ198" s="2857">
        <f>AJ222+AJ246</f>
        <v/>
      </c>
      <c r="AK198" s="2858" t="n"/>
      <c r="AL198" s="2789" t="n"/>
      <c r="AM198" s="2858" t="n"/>
      <c r="AN198" s="2857">
        <f>AN222+AN246</f>
        <v/>
      </c>
      <c r="AO198" s="2858" t="n"/>
      <c r="AP198" s="2789" t="n"/>
      <c r="AQ198" s="2858" t="n"/>
      <c r="AR198" s="2857">
        <f>AR222+AR246</f>
        <v/>
      </c>
      <c r="AS198" s="2858" t="n"/>
      <c r="AT198" s="2789" t="n"/>
      <c r="AU198" s="2858" t="n"/>
      <c r="AV198" s="2857">
        <f>AV222+AV246</f>
        <v/>
      </c>
      <c r="AW198" s="2858" t="n"/>
      <c r="AX198" s="2789" t="n"/>
      <c r="AY198" s="2858" t="n"/>
      <c r="AZ198" s="2857">
        <f>SUM(C198:AW198)</f>
        <v/>
      </c>
      <c r="BA198" s="2858" t="n"/>
    </row>
    <row customFormat="1" outlineLevel="1" r="199" s="2216" spans="1:55">
      <c r="A199" s="2857" t="s">
        <v>191</v>
      </c>
      <c r="B199" s="2789" t="n"/>
      <c r="C199" s="2858" t="n"/>
      <c r="D199" s="2857">
        <f>D223+D247</f>
        <v/>
      </c>
      <c r="E199" s="2858" t="n"/>
      <c r="F199" s="2789" t="n"/>
      <c r="G199" s="2858" t="n"/>
      <c r="H199" s="2857">
        <f>H223+H247</f>
        <v/>
      </c>
      <c r="I199" s="2858" t="n"/>
      <c r="J199" s="2789" t="n"/>
      <c r="K199" s="2858" t="n"/>
      <c r="L199" s="2857">
        <f>L223+L247</f>
        <v/>
      </c>
      <c r="M199" s="2858" t="n"/>
      <c r="N199" s="2799" t="n"/>
      <c r="O199" s="2858" t="n"/>
      <c r="P199" s="2857">
        <f>P223+P247</f>
        <v/>
      </c>
      <c r="Q199" s="2858" t="n"/>
      <c r="R199" s="2789" t="n"/>
      <c r="S199" s="2858" t="n"/>
      <c r="T199" s="2857">
        <f>T223+T247</f>
        <v/>
      </c>
      <c r="U199" s="2858" t="n"/>
      <c r="V199" s="2799" t="n"/>
      <c r="W199" s="2858" t="n"/>
      <c r="X199" s="2857">
        <f>X223+X247</f>
        <v/>
      </c>
      <c r="Y199" s="2858" t="n"/>
      <c r="Z199" s="2799" t="n"/>
      <c r="AA199" s="2858" t="n"/>
      <c r="AB199" s="2857">
        <f>AB223+AB247</f>
        <v/>
      </c>
      <c r="AC199" s="2858" t="n"/>
      <c r="AD199" s="2799" t="n"/>
      <c r="AE199" s="2858" t="n"/>
      <c r="AF199" s="2857">
        <f>AF223+AF247</f>
        <v/>
      </c>
      <c r="AG199" s="2858" t="n"/>
      <c r="AH199" s="2799" t="n"/>
      <c r="AI199" s="2858" t="n"/>
      <c r="AJ199" s="2857">
        <f>AJ223+AJ247</f>
        <v/>
      </c>
      <c r="AK199" s="2858" t="n"/>
      <c r="AL199" s="2789" t="n"/>
      <c r="AM199" s="2858" t="n"/>
      <c r="AN199" s="2857">
        <f>AN223+AN247</f>
        <v/>
      </c>
      <c r="AO199" s="2858" t="n"/>
      <c r="AP199" s="2789" t="n"/>
      <c r="AQ199" s="2858" t="n"/>
      <c r="AR199" s="2857">
        <f>AR223+AR247</f>
        <v/>
      </c>
      <c r="AS199" s="2858" t="n"/>
      <c r="AT199" s="2789" t="n"/>
      <c r="AU199" s="2858" t="n"/>
      <c r="AV199" s="2857">
        <f>AV223+AV247</f>
        <v/>
      </c>
      <c r="AW199" s="2858" t="n"/>
      <c r="AX199" s="2789" t="n"/>
      <c r="AY199" s="2858" t="n"/>
      <c r="AZ199" s="2857">
        <f>SUM(C199:AW199)</f>
        <v/>
      </c>
      <c r="BA199" s="2858" t="n"/>
    </row>
    <row customFormat="1" outlineLevel="1" r="200" s="2216" spans="1:55">
      <c r="A200" s="2857" t="s">
        <v>192</v>
      </c>
      <c r="B200" s="2789" t="n"/>
      <c r="C200" s="2858" t="n"/>
      <c r="D200" s="2857">
        <f>D224+D248</f>
        <v/>
      </c>
      <c r="E200" s="2858" t="n"/>
      <c r="F200" s="2789" t="n"/>
      <c r="G200" s="2858" t="n"/>
      <c r="H200" s="2857">
        <f>H224+H248</f>
        <v/>
      </c>
      <c r="I200" s="2858" t="n"/>
      <c r="J200" s="2789" t="n"/>
      <c r="K200" s="2858" t="n"/>
      <c r="L200" s="2857">
        <f>L224+L248</f>
        <v/>
      </c>
      <c r="M200" s="2858" t="n"/>
      <c r="N200" s="2799" t="n"/>
      <c r="O200" s="2858" t="n"/>
      <c r="P200" s="2857">
        <f>P224+P248</f>
        <v/>
      </c>
      <c r="Q200" s="2858" t="n"/>
      <c r="R200" s="2789" t="n"/>
      <c r="S200" s="2858" t="n"/>
      <c r="T200" s="2857">
        <f>T224+T248</f>
        <v/>
      </c>
      <c r="U200" s="2858" t="n"/>
      <c r="V200" s="2799" t="n"/>
      <c r="W200" s="2858" t="n"/>
      <c r="X200" s="2857">
        <f>X224+X248</f>
        <v/>
      </c>
      <c r="Y200" s="2858" t="n"/>
      <c r="Z200" s="2799" t="n"/>
      <c r="AA200" s="2858" t="n"/>
      <c r="AB200" s="2857">
        <f>AB224+AB248</f>
        <v/>
      </c>
      <c r="AC200" s="2858" t="n"/>
      <c r="AD200" s="2799" t="n"/>
      <c r="AE200" s="2858" t="n"/>
      <c r="AF200" s="2857">
        <f>AF224+AF248</f>
        <v/>
      </c>
      <c r="AG200" s="2858" t="n"/>
      <c r="AH200" s="2799" t="n"/>
      <c r="AI200" s="2858" t="n"/>
      <c r="AJ200" s="2857">
        <f>AJ224+AJ248</f>
        <v/>
      </c>
      <c r="AK200" s="2858" t="n"/>
      <c r="AL200" s="2789" t="n"/>
      <c r="AM200" s="2858" t="n"/>
      <c r="AN200" s="2857">
        <f>AN224+AN248</f>
        <v/>
      </c>
      <c r="AO200" s="2858" t="n"/>
      <c r="AP200" s="2789" t="n"/>
      <c r="AQ200" s="2858" t="n"/>
      <c r="AR200" s="2857">
        <f>AR224+AR248</f>
        <v/>
      </c>
      <c r="AS200" s="2858" t="n"/>
      <c r="AT200" s="2789" t="n"/>
      <c r="AU200" s="2858" t="n"/>
      <c r="AV200" s="2857">
        <f>AV224+AV248</f>
        <v/>
      </c>
      <c r="AW200" s="2858" t="n"/>
      <c r="AX200" s="2789" t="n"/>
      <c r="AY200" s="2858" t="n"/>
      <c r="AZ200" s="2857">
        <f>SUM(C200:AW200)</f>
        <v/>
      </c>
      <c r="BA200" s="2858" t="n"/>
    </row>
    <row customFormat="1" outlineLevel="1" r="201" s="2216" spans="1:55">
      <c r="A201" s="2857" t="s">
        <v>194</v>
      </c>
      <c r="B201" s="2789" t="n"/>
      <c r="C201" s="2858" t="n"/>
      <c r="D201" s="2857">
        <f>D225+D249</f>
        <v/>
      </c>
      <c r="E201" s="2858" t="n"/>
      <c r="F201" s="2789" t="n"/>
      <c r="G201" s="2858" t="n"/>
      <c r="H201" s="2857">
        <f>H225+H249</f>
        <v/>
      </c>
      <c r="I201" s="2858" t="n"/>
      <c r="J201" s="2789" t="n"/>
      <c r="K201" s="2858" t="n"/>
      <c r="L201" s="2857">
        <f>L225+L249</f>
        <v/>
      </c>
      <c r="M201" s="2858" t="n"/>
      <c r="N201" s="2799" t="n"/>
      <c r="O201" s="2858" t="n"/>
      <c r="P201" s="2857">
        <f>P225+P249</f>
        <v/>
      </c>
      <c r="Q201" s="2858" t="n"/>
      <c r="R201" s="2789" t="n"/>
      <c r="S201" s="2858" t="n"/>
      <c r="T201" s="2857">
        <f>T225+T249</f>
        <v/>
      </c>
      <c r="U201" s="2858" t="n"/>
      <c r="V201" s="2799" t="n"/>
      <c r="W201" s="2858" t="n"/>
      <c r="X201" s="2857">
        <f>X225+X249</f>
        <v/>
      </c>
      <c r="Y201" s="2858" t="n"/>
      <c r="Z201" s="2799" t="n"/>
      <c r="AA201" s="2858" t="n"/>
      <c r="AB201" s="2857">
        <f>AB225+AB249</f>
        <v/>
      </c>
      <c r="AC201" s="2858" t="n"/>
      <c r="AD201" s="2799" t="n"/>
      <c r="AE201" s="2858" t="n"/>
      <c r="AF201" s="2857">
        <f>AF225+AF249</f>
        <v/>
      </c>
      <c r="AG201" s="2858" t="n"/>
      <c r="AH201" s="2799" t="n"/>
      <c r="AI201" s="2858" t="n"/>
      <c r="AJ201" s="2857">
        <f>AJ225+AJ249</f>
        <v/>
      </c>
      <c r="AK201" s="2858" t="n"/>
      <c r="AL201" s="2789" t="n"/>
      <c r="AM201" s="2858" t="n"/>
      <c r="AN201" s="2857">
        <f>AN225+AN249</f>
        <v/>
      </c>
      <c r="AO201" s="2858" t="n"/>
      <c r="AP201" s="2789" t="n"/>
      <c r="AQ201" s="2858" t="n"/>
      <c r="AR201" s="2857">
        <f>AR225+AR249</f>
        <v/>
      </c>
      <c r="AS201" s="2858" t="n"/>
      <c r="AT201" s="2789" t="n"/>
      <c r="AU201" s="2858" t="n"/>
      <c r="AV201" s="2857">
        <f>AV225+AV249</f>
        <v/>
      </c>
      <c r="AW201" s="2858" t="n"/>
      <c r="AX201" s="2789" t="n"/>
      <c r="AY201" s="2858" t="n"/>
      <c r="AZ201" s="2857">
        <f>SUM(C201:AW201)</f>
        <v/>
      </c>
      <c r="BA201" s="2858" t="n"/>
    </row>
    <row customFormat="1" outlineLevel="1" r="202" s="2216" spans="1:55">
      <c r="A202" s="2857" t="s">
        <v>195</v>
      </c>
      <c r="B202" s="2789" t="n"/>
      <c r="C202" s="2857" t="n"/>
      <c r="D202" s="2857">
        <f>D226+D250</f>
        <v/>
      </c>
      <c r="E202" s="2857" t="n"/>
      <c r="F202" s="2789" t="n"/>
      <c r="G202" s="2857" t="n"/>
      <c r="H202" s="2857">
        <f>H226+H250</f>
        <v/>
      </c>
      <c r="I202" s="2857" t="n"/>
      <c r="J202" s="2789" t="n"/>
      <c r="K202" s="2857" t="n"/>
      <c r="L202" s="2857">
        <f>L226+L250</f>
        <v/>
      </c>
      <c r="M202" s="2857" t="n"/>
      <c r="N202" s="2799" t="n"/>
      <c r="O202" s="2857" t="n"/>
      <c r="P202" s="2857">
        <f>P226+P250</f>
        <v/>
      </c>
      <c r="Q202" s="2857" t="n"/>
      <c r="R202" s="2789" t="n"/>
      <c r="S202" s="2857" t="n"/>
      <c r="T202" s="2857">
        <f>T226+T250</f>
        <v/>
      </c>
      <c r="U202" s="2857" t="n"/>
      <c r="V202" s="2799" t="n"/>
      <c r="W202" s="2857" t="n"/>
      <c r="X202" s="2857">
        <f>X226+X250</f>
        <v/>
      </c>
      <c r="Y202" s="2857" t="n"/>
      <c r="Z202" s="2799" t="n"/>
      <c r="AA202" s="2857" t="n"/>
      <c r="AB202" s="2857">
        <f>AB226+AB250</f>
        <v/>
      </c>
      <c r="AC202" s="2857" t="n"/>
      <c r="AD202" s="2799" t="n"/>
      <c r="AE202" s="2857" t="n"/>
      <c r="AF202" s="2857">
        <f>AF226+AF250</f>
        <v/>
      </c>
      <c r="AG202" s="2857" t="n"/>
      <c r="AH202" s="2799" t="n"/>
      <c r="AI202" s="2857" t="n"/>
      <c r="AJ202" s="2857">
        <f>AJ226+AJ250</f>
        <v/>
      </c>
      <c r="AK202" s="2857" t="n"/>
      <c r="AL202" s="2789" t="n"/>
      <c r="AM202" s="2857" t="n"/>
      <c r="AN202" s="2857">
        <f>AN226+AN250</f>
        <v/>
      </c>
      <c r="AO202" s="2857" t="n"/>
      <c r="AP202" s="2789" t="n"/>
      <c r="AQ202" s="2857" t="n"/>
      <c r="AR202" s="2857">
        <f>AR226+AR250</f>
        <v/>
      </c>
      <c r="AS202" s="2857" t="n"/>
      <c r="AT202" s="2789" t="n"/>
      <c r="AU202" s="2857" t="n"/>
      <c r="AV202" s="2857">
        <f>AV226+AV250</f>
        <v/>
      </c>
      <c r="AW202" s="2857" t="n"/>
      <c r="AX202" s="2789" t="n"/>
      <c r="AY202" s="2857" t="n"/>
      <c r="AZ202" s="2857">
        <f>SUM(C202:AW202)</f>
        <v/>
      </c>
      <c r="BA202" s="2857" t="n"/>
    </row>
    <row customFormat="1" outlineLevel="1" r="203" s="2216" spans="1:55">
      <c r="A203" s="2794" t="s">
        <v>366</v>
      </c>
      <c r="B203" s="2793" t="n"/>
      <c r="C203" s="2794" t="n"/>
      <c r="D203" s="2792">
        <f>D227+D251</f>
        <v/>
      </c>
      <c r="E203" s="2843" t="n"/>
      <c r="F203" s="2793" t="n"/>
      <c r="G203" s="2843" t="n"/>
      <c r="H203" s="2792">
        <f>H227+H251</f>
        <v/>
      </c>
      <c r="I203" s="2794" t="n"/>
      <c r="J203" s="2793" t="n"/>
      <c r="K203" s="2794" t="n"/>
      <c r="L203" s="2792">
        <f>L227+L251</f>
        <v/>
      </c>
      <c r="M203" s="2794" t="n"/>
      <c r="N203" s="2795" t="n"/>
      <c r="O203" s="2794" t="n"/>
      <c r="P203" s="2792">
        <f>P227+P251</f>
        <v/>
      </c>
      <c r="Q203" s="2794" t="n"/>
      <c r="R203" s="2793" t="n"/>
      <c r="S203" s="2794" t="n"/>
      <c r="T203" s="2792">
        <f>T227+T251</f>
        <v/>
      </c>
      <c r="U203" s="2794" t="n"/>
      <c r="V203" s="2795" t="n"/>
      <c r="W203" s="2794" t="n"/>
      <c r="X203" s="2792">
        <f>X227+X251</f>
        <v/>
      </c>
      <c r="Y203" s="2794" t="n"/>
      <c r="Z203" s="2795" t="n"/>
      <c r="AA203" s="2794" t="n"/>
      <c r="AB203" s="2792">
        <f>AB227+AB251</f>
        <v/>
      </c>
      <c r="AC203" s="2794" t="n"/>
      <c r="AD203" s="2795" t="n"/>
      <c r="AE203" s="2794" t="n"/>
      <c r="AF203" s="2792">
        <f>AF227+AF251</f>
        <v/>
      </c>
      <c r="AG203" s="2794" t="n"/>
      <c r="AH203" s="2795" t="n"/>
      <c r="AI203" s="2794" t="n"/>
      <c r="AJ203" s="2792">
        <f>AJ227+AJ251</f>
        <v/>
      </c>
      <c r="AK203" s="2794" t="n"/>
      <c r="AL203" s="2793" t="n"/>
      <c r="AM203" s="2794" t="n"/>
      <c r="AN203" s="2792">
        <f>AN227+AN251</f>
        <v/>
      </c>
      <c r="AO203" s="2794" t="n"/>
      <c r="AP203" s="2793" t="n"/>
      <c r="AQ203" s="2794" t="n"/>
      <c r="AR203" s="2792">
        <f>AR227+AR251</f>
        <v/>
      </c>
      <c r="AS203" s="2794" t="n"/>
      <c r="AT203" s="2793" t="n"/>
      <c r="AU203" s="2794" t="n"/>
      <c r="AV203" s="2792">
        <f>AV227+AV251</f>
        <v/>
      </c>
      <c r="AW203" s="2794" t="n"/>
      <c r="AX203" s="2793" t="n"/>
      <c r="AY203" s="2794" t="n"/>
      <c r="AZ203" s="2794">
        <f>SUM(C203:AW203)</f>
        <v/>
      </c>
      <c r="BA203" s="2794" t="n"/>
    </row>
    <row customFormat="1" outlineLevel="1" r="204" s="2216" spans="1:55">
      <c r="A204" s="2857" t="s">
        <v>161</v>
      </c>
      <c r="B204" s="2789" t="n"/>
      <c r="C204" s="2857" t="n"/>
      <c r="D204" s="2857">
        <f>D228+D252</f>
        <v/>
      </c>
      <c r="E204" s="2857" t="n"/>
      <c r="F204" s="2789" t="n"/>
      <c r="G204" s="2857" t="n"/>
      <c r="H204" s="2857">
        <f>H228+H252</f>
        <v/>
      </c>
      <c r="I204" s="2857" t="n"/>
      <c r="J204" s="2789" t="n"/>
      <c r="K204" s="2857" t="n"/>
      <c r="L204" s="2857">
        <f>L228+L252</f>
        <v/>
      </c>
      <c r="M204" s="2857" t="n"/>
      <c r="N204" s="2799" t="n"/>
      <c r="O204" s="2857" t="n"/>
      <c r="P204" s="2857">
        <f>P228+P252</f>
        <v/>
      </c>
      <c r="Q204" s="2857" t="n"/>
      <c r="R204" s="2789" t="n"/>
      <c r="S204" s="2857" t="n"/>
      <c r="T204" s="2857">
        <f>T228+T252</f>
        <v/>
      </c>
      <c r="U204" s="2857" t="n"/>
      <c r="V204" s="2799" t="n"/>
      <c r="W204" s="2857" t="n"/>
      <c r="X204" s="2857">
        <f>X228+X252</f>
        <v/>
      </c>
      <c r="Y204" s="2857" t="n"/>
      <c r="Z204" s="2799" t="n"/>
      <c r="AA204" s="2857" t="n"/>
      <c r="AB204" s="2857">
        <f>AB228+AB252</f>
        <v/>
      </c>
      <c r="AC204" s="2857" t="n"/>
      <c r="AD204" s="2799" t="n"/>
      <c r="AE204" s="2857" t="n"/>
      <c r="AF204" s="2857">
        <f>AF228+AF252</f>
        <v/>
      </c>
      <c r="AG204" s="2857" t="n"/>
      <c r="AH204" s="2799" t="n"/>
      <c r="AI204" s="2857" t="n"/>
      <c r="AJ204" s="2857">
        <f>AJ228+AJ252</f>
        <v/>
      </c>
      <c r="AK204" s="2857" t="n"/>
      <c r="AL204" s="2789" t="n"/>
      <c r="AM204" s="2857" t="n"/>
      <c r="AN204" s="2857">
        <f>AN228+AN252</f>
        <v/>
      </c>
      <c r="AO204" s="2857" t="n"/>
      <c r="AP204" s="2789" t="n"/>
      <c r="AQ204" s="2857" t="n"/>
      <c r="AR204" s="2857">
        <f>AR228+AR252</f>
        <v/>
      </c>
      <c r="AS204" s="2857" t="n"/>
      <c r="AT204" s="2789" t="n"/>
      <c r="AU204" s="2857" t="n"/>
      <c r="AV204" s="2857">
        <f>AV228+AV252</f>
        <v/>
      </c>
      <c r="AW204" s="2857" t="n"/>
      <c r="AX204" s="2789" t="n"/>
      <c r="AY204" s="2857" t="n"/>
      <c r="AZ204" s="2857">
        <f>SUM(C204:AW204)</f>
        <v/>
      </c>
      <c r="BA204" s="2857" t="n"/>
    </row>
    <row customFormat="1" outlineLevel="1" r="205" s="2216" spans="1:55">
      <c r="A205" s="2859" t="s">
        <v>367</v>
      </c>
      <c r="B205" s="2789" t="n"/>
      <c r="C205" s="2858" t="n"/>
      <c r="D205" s="2857">
        <f>D229+D253</f>
        <v/>
      </c>
      <c r="E205" s="2858" t="n"/>
      <c r="F205" s="2789" t="n"/>
      <c r="G205" s="2858" t="n"/>
      <c r="H205" s="2857">
        <f>H229+H253</f>
        <v/>
      </c>
      <c r="I205" s="2858" t="n"/>
      <c r="J205" s="2789" t="n"/>
      <c r="K205" s="2858" t="n"/>
      <c r="L205" s="2857">
        <f>L229+L253</f>
        <v/>
      </c>
      <c r="M205" s="2858" t="n"/>
      <c r="N205" s="2799" t="n"/>
      <c r="O205" s="2858" t="n"/>
      <c r="P205" s="2857">
        <f>P229+P253</f>
        <v/>
      </c>
      <c r="Q205" s="2858" t="n"/>
      <c r="R205" s="2789" t="n"/>
      <c r="S205" s="2858" t="n"/>
      <c r="T205" s="2857">
        <f>T229+T253</f>
        <v/>
      </c>
      <c r="U205" s="2858" t="n"/>
      <c r="V205" s="2799" t="n"/>
      <c r="W205" s="2858" t="n"/>
      <c r="X205" s="2857">
        <f>X229+X253</f>
        <v/>
      </c>
      <c r="Y205" s="2858" t="n"/>
      <c r="Z205" s="2799" t="n"/>
      <c r="AA205" s="2858" t="n"/>
      <c r="AB205" s="2857">
        <f>AB229+AB253</f>
        <v/>
      </c>
      <c r="AC205" s="2858" t="n"/>
      <c r="AD205" s="2799" t="n"/>
      <c r="AE205" s="2858" t="n"/>
      <c r="AF205" s="2857">
        <f>AF229+AF253</f>
        <v/>
      </c>
      <c r="AG205" s="2858" t="n"/>
      <c r="AH205" s="2799" t="n"/>
      <c r="AI205" s="2858" t="n"/>
      <c r="AJ205" s="2857">
        <f>AJ229+AJ253</f>
        <v/>
      </c>
      <c r="AK205" s="2858" t="n"/>
      <c r="AL205" s="2789" t="n"/>
      <c r="AM205" s="2858" t="n"/>
      <c r="AN205" s="2857">
        <f>AN229+AN253</f>
        <v/>
      </c>
      <c r="AO205" s="2858" t="n"/>
      <c r="AP205" s="2789" t="n"/>
      <c r="AQ205" s="2858" t="n"/>
      <c r="AR205" s="2857">
        <f>AR229+AR253</f>
        <v/>
      </c>
      <c r="AS205" s="2858" t="n"/>
      <c r="AT205" s="2789" t="n"/>
      <c r="AU205" s="2858" t="n"/>
      <c r="AV205" s="2857">
        <f>AV229+AV253</f>
        <v/>
      </c>
      <c r="AW205" s="2858" t="n"/>
      <c r="AX205" s="2789" t="n"/>
      <c r="AY205" s="2858" t="n"/>
      <c r="AZ205" s="2857">
        <f>SUM(C205:AW205)</f>
        <v/>
      </c>
      <c r="BA205" s="2858" t="n"/>
    </row>
    <row customFormat="1" outlineLevel="1" r="206" s="2216" spans="1:55">
      <c r="A206" s="2860" t="s">
        <v>232</v>
      </c>
      <c r="B206" s="2789" t="n"/>
      <c r="C206" s="2857" t="n"/>
      <c r="D206" s="2857">
        <f>D230+D254</f>
        <v/>
      </c>
      <c r="E206" s="2858" t="n"/>
      <c r="F206" s="2789" t="n"/>
      <c r="G206" s="2858" t="n"/>
      <c r="H206" s="2857">
        <f>H230+H254</f>
        <v/>
      </c>
      <c r="I206" s="2858" t="n"/>
      <c r="J206" s="2789" t="n"/>
      <c r="K206" s="2858" t="n"/>
      <c r="L206" s="2857">
        <f>L230+L254</f>
        <v/>
      </c>
      <c r="M206" s="2858" t="n"/>
      <c r="N206" s="2799" t="n"/>
      <c r="O206" s="2858" t="n"/>
      <c r="P206" s="2857">
        <f>P230+P254</f>
        <v/>
      </c>
      <c r="Q206" s="2858" t="n"/>
      <c r="R206" s="2789" t="n"/>
      <c r="S206" s="2858" t="n"/>
      <c r="T206" s="2857">
        <f>T230+T254</f>
        <v/>
      </c>
      <c r="U206" s="2858" t="n"/>
      <c r="V206" s="2799" t="n"/>
      <c r="W206" s="2858" t="n"/>
      <c r="X206" s="2857">
        <f>X230+X254</f>
        <v/>
      </c>
      <c r="Y206" s="2858" t="n"/>
      <c r="Z206" s="2799" t="n"/>
      <c r="AA206" s="2858" t="n"/>
      <c r="AB206" s="2857">
        <f>AB230+AB254</f>
        <v/>
      </c>
      <c r="AC206" s="2858" t="n"/>
      <c r="AD206" s="2799" t="n"/>
      <c r="AE206" s="2858" t="n"/>
      <c r="AF206" s="2857">
        <f>AF230+AF254</f>
        <v/>
      </c>
      <c r="AG206" s="2858" t="n"/>
      <c r="AH206" s="2799" t="n"/>
      <c r="AI206" s="2858" t="n"/>
      <c r="AJ206" s="2857">
        <f>AJ230+AJ254</f>
        <v/>
      </c>
      <c r="AK206" s="2858" t="n"/>
      <c r="AL206" s="2789" t="n"/>
      <c r="AM206" s="2858" t="n"/>
      <c r="AN206" s="2857">
        <f>AN230+AN254</f>
        <v/>
      </c>
      <c r="AO206" s="2858" t="n"/>
      <c r="AP206" s="2789" t="n"/>
      <c r="AQ206" s="2858" t="n"/>
      <c r="AR206" s="2857">
        <f>AR230+AR254</f>
        <v/>
      </c>
      <c r="AS206" s="2858" t="n"/>
      <c r="AT206" s="2789" t="n"/>
      <c r="AU206" s="2858" t="n"/>
      <c r="AV206" s="2857">
        <f>AV230+AV254</f>
        <v/>
      </c>
      <c r="AW206" s="2858" t="n"/>
      <c r="AX206" s="2789" t="n"/>
      <c r="AY206" s="2858" t="n"/>
      <c r="AZ206" s="2857">
        <f>SUM(C206:AW206)</f>
        <v/>
      </c>
      <c r="BA206" s="2858" t="n"/>
    </row>
    <row customFormat="1" outlineLevel="1" r="207" s="2216" spans="1:55">
      <c r="A207" s="2861" t="s">
        <v>233</v>
      </c>
      <c r="B207" s="2789" t="n"/>
      <c r="C207" s="2862" t="n"/>
      <c r="D207" s="2857">
        <f>D231+D255</f>
        <v/>
      </c>
      <c r="E207" s="2862" t="n"/>
      <c r="F207" s="2789" t="n"/>
      <c r="G207" s="2862" t="n"/>
      <c r="H207" s="2857">
        <f>H231+H255</f>
        <v/>
      </c>
      <c r="I207" s="2862" t="n"/>
      <c r="J207" s="2789" t="n"/>
      <c r="K207" s="2862" t="n"/>
      <c r="L207" s="2857">
        <f>L231+L255</f>
        <v/>
      </c>
      <c r="M207" s="2862" t="n"/>
      <c r="N207" s="2799" t="n"/>
      <c r="O207" s="2862" t="n"/>
      <c r="P207" s="2857">
        <f>P231+P255</f>
        <v/>
      </c>
      <c r="Q207" s="2862" t="n"/>
      <c r="R207" s="2789" t="n"/>
      <c r="S207" s="2862" t="n"/>
      <c r="T207" s="2857">
        <f>T231+T255</f>
        <v/>
      </c>
      <c r="U207" s="2862" t="n"/>
      <c r="V207" s="2799" t="n"/>
      <c r="W207" s="2862" t="n"/>
      <c r="X207" s="2857">
        <f>X231+X255</f>
        <v/>
      </c>
      <c r="Y207" s="2862" t="n"/>
      <c r="Z207" s="2799" t="n"/>
      <c r="AA207" s="2862" t="n"/>
      <c r="AB207" s="2857">
        <f>AB231+AB255</f>
        <v/>
      </c>
      <c r="AC207" s="2862" t="n"/>
      <c r="AD207" s="2799" t="n"/>
      <c r="AE207" s="2862" t="n"/>
      <c r="AF207" s="2857">
        <f>AF231+AF255</f>
        <v/>
      </c>
      <c r="AG207" s="2862" t="n"/>
      <c r="AH207" s="2799" t="n"/>
      <c r="AI207" s="2862" t="n"/>
      <c r="AJ207" s="2857">
        <f>AJ231+AJ255</f>
        <v/>
      </c>
      <c r="AK207" s="2862" t="n"/>
      <c r="AL207" s="2789" t="n"/>
      <c r="AM207" s="2862" t="n"/>
      <c r="AN207" s="2857">
        <f>AN231+AN255</f>
        <v/>
      </c>
      <c r="AO207" s="2862" t="n"/>
      <c r="AP207" s="2789" t="n"/>
      <c r="AQ207" s="2862" t="n"/>
      <c r="AR207" s="2857">
        <f>AR231+AR255</f>
        <v/>
      </c>
      <c r="AS207" s="2862" t="n"/>
      <c r="AT207" s="2789" t="n"/>
      <c r="AU207" s="2862" t="n"/>
      <c r="AV207" s="2857">
        <f>AV231+AV255</f>
        <v/>
      </c>
      <c r="AW207" s="2862" t="n"/>
      <c r="AX207" s="2789" t="n"/>
      <c r="AY207" s="2862" t="n"/>
      <c r="AZ207" s="2857">
        <f>SUM(C207:AW207)</f>
        <v/>
      </c>
      <c r="BA207" s="2862" t="n"/>
    </row>
    <row customFormat="1" outlineLevel="1" r="208" s="2216" spans="1:55">
      <c r="A208" s="2860" t="s">
        <v>368</v>
      </c>
      <c r="B208" s="2789" t="n"/>
      <c r="C208" s="2857" t="n"/>
      <c r="D208" s="2857">
        <f>D232+D256</f>
        <v/>
      </c>
      <c r="E208" s="2862" t="n"/>
      <c r="F208" s="2789" t="n"/>
      <c r="G208" s="2862" t="n"/>
      <c r="H208" s="2857">
        <f>H232+H256</f>
        <v/>
      </c>
      <c r="I208" s="2862" t="n"/>
      <c r="J208" s="2789" t="n"/>
      <c r="K208" s="2862" t="n"/>
      <c r="L208" s="2857">
        <f>L232+L256</f>
        <v/>
      </c>
      <c r="M208" s="2862" t="n"/>
      <c r="N208" s="2799" t="n"/>
      <c r="O208" s="2862" t="n"/>
      <c r="P208" s="2857">
        <f>P232+P256</f>
        <v/>
      </c>
      <c r="Q208" s="2862" t="n"/>
      <c r="R208" s="2789" t="n"/>
      <c r="S208" s="2862" t="n"/>
      <c r="T208" s="2857">
        <f>T232+T256</f>
        <v/>
      </c>
      <c r="U208" s="2862" t="n"/>
      <c r="V208" s="2799" t="n"/>
      <c r="W208" s="2862" t="n"/>
      <c r="X208" s="2857">
        <f>X232+X256</f>
        <v/>
      </c>
      <c r="Y208" s="2862" t="n"/>
      <c r="Z208" s="2799" t="n"/>
      <c r="AA208" s="2862" t="n"/>
      <c r="AB208" s="2857">
        <f>AB232+AB256</f>
        <v/>
      </c>
      <c r="AC208" s="2862" t="n"/>
      <c r="AD208" s="2799" t="n"/>
      <c r="AE208" s="2862" t="n"/>
      <c r="AF208" s="2857">
        <f>AF232+AF256</f>
        <v/>
      </c>
      <c r="AG208" s="2862" t="n"/>
      <c r="AH208" s="2799" t="n"/>
      <c r="AI208" s="2862" t="n"/>
      <c r="AJ208" s="2857">
        <f>AJ232+AJ256</f>
        <v/>
      </c>
      <c r="AK208" s="2862" t="n"/>
      <c r="AL208" s="2789" t="n"/>
      <c r="AM208" s="2862" t="n"/>
      <c r="AN208" s="2857">
        <f>AN232+AN256</f>
        <v/>
      </c>
      <c r="AO208" s="2862" t="n"/>
      <c r="AP208" s="2789" t="n"/>
      <c r="AQ208" s="2862" t="n"/>
      <c r="AR208" s="2857">
        <f>AR232+AR256</f>
        <v/>
      </c>
      <c r="AS208" s="2862" t="n"/>
      <c r="AT208" s="2789" t="n"/>
      <c r="AU208" s="2862" t="n"/>
      <c r="AV208" s="2857">
        <f>AV232+AV256</f>
        <v/>
      </c>
      <c r="AW208" s="2862" t="n"/>
      <c r="AX208" s="2789" t="n"/>
      <c r="AY208" s="2857" t="n"/>
      <c r="AZ208" s="2857">
        <f>SUM(C208:AW208)</f>
        <v/>
      </c>
      <c r="BA208" s="2857" t="n"/>
    </row>
    <row customFormat="1" outlineLevel="1" r="209" s="2216" spans="1:55">
      <c r="A209" s="2863" t="s">
        <v>369</v>
      </c>
      <c r="B209" s="2789" t="n"/>
      <c r="C209" s="2864" t="n"/>
      <c r="D209" s="2857">
        <f>D233+D257</f>
        <v/>
      </c>
      <c r="E209" s="2862" t="n"/>
      <c r="F209" s="2789" t="n"/>
      <c r="G209" s="2862" t="n"/>
      <c r="H209" s="2857">
        <f>H233+H257</f>
        <v/>
      </c>
      <c r="I209" s="2862" t="n"/>
      <c r="J209" s="2789" t="n"/>
      <c r="K209" s="2862" t="n"/>
      <c r="L209" s="2857">
        <f>L233+L257</f>
        <v/>
      </c>
      <c r="M209" s="2862" t="n"/>
      <c r="N209" s="2799" t="n"/>
      <c r="O209" s="2862" t="n"/>
      <c r="P209" s="2857">
        <f>P233+P257</f>
        <v/>
      </c>
      <c r="Q209" s="2862" t="n"/>
      <c r="R209" s="2789" t="n"/>
      <c r="S209" s="2862" t="n"/>
      <c r="T209" s="2857">
        <f>T233+T257</f>
        <v/>
      </c>
      <c r="U209" s="2862" t="n"/>
      <c r="V209" s="2799" t="n"/>
      <c r="W209" s="2862" t="n"/>
      <c r="X209" s="2857">
        <f>X233+X257</f>
        <v/>
      </c>
      <c r="Y209" s="2862" t="n"/>
      <c r="Z209" s="2799" t="n"/>
      <c r="AA209" s="2862" t="n"/>
      <c r="AB209" s="2857">
        <f>AB233+AB257</f>
        <v/>
      </c>
      <c r="AC209" s="2862" t="n"/>
      <c r="AD209" s="2799" t="n"/>
      <c r="AE209" s="2862" t="n"/>
      <c r="AF209" s="2857">
        <f>AF233+AF257</f>
        <v/>
      </c>
      <c r="AG209" s="2862" t="n"/>
      <c r="AH209" s="2799" t="n"/>
      <c r="AI209" s="2862" t="n"/>
      <c r="AJ209" s="2857">
        <f>AJ233+AJ257</f>
        <v/>
      </c>
      <c r="AK209" s="2862" t="n"/>
      <c r="AL209" s="2789" t="n"/>
      <c r="AM209" s="2862" t="n"/>
      <c r="AN209" s="2857">
        <f>AN233+AN257</f>
        <v/>
      </c>
      <c r="AO209" s="2862" t="n"/>
      <c r="AP209" s="2789" t="n"/>
      <c r="AQ209" s="2862" t="n"/>
      <c r="AR209" s="2857">
        <f>AR233+AR257</f>
        <v/>
      </c>
      <c r="AS209" s="2862" t="n"/>
      <c r="AT209" s="2789" t="n"/>
      <c r="AU209" s="2862" t="n"/>
      <c r="AV209" s="2857">
        <f>AV233+AV257</f>
        <v/>
      </c>
      <c r="AW209" s="2862" t="n"/>
      <c r="AX209" s="2789" t="n"/>
      <c r="AY209" s="2864" t="n"/>
      <c r="AZ209" s="2857">
        <f>SUM(C209:AW209)</f>
        <v/>
      </c>
      <c r="BA209" s="2864" t="n"/>
    </row>
    <row customFormat="1" outlineLevel="1" r="210" s="2216" spans="1:55">
      <c r="A210" s="2859" t="s">
        <v>370</v>
      </c>
      <c r="B210" s="2789" t="n"/>
      <c r="C210" s="2858" t="n"/>
      <c r="D210" s="2857">
        <f>D234+D258</f>
        <v/>
      </c>
      <c r="E210" s="2858" t="n"/>
      <c r="F210" s="2789" t="n"/>
      <c r="G210" s="2858" t="n"/>
      <c r="H210" s="2857">
        <f>H234+H258</f>
        <v/>
      </c>
      <c r="I210" s="2858" t="n"/>
      <c r="J210" s="2789" t="n"/>
      <c r="K210" s="2858" t="n"/>
      <c r="L210" s="2857">
        <f>L234+L258</f>
        <v/>
      </c>
      <c r="M210" s="2858" t="n"/>
      <c r="N210" s="2799" t="n"/>
      <c r="O210" s="2858" t="n"/>
      <c r="P210" s="2857">
        <f>P234+P258</f>
        <v/>
      </c>
      <c r="Q210" s="2858" t="n"/>
      <c r="R210" s="2789" t="n"/>
      <c r="S210" s="2858" t="n"/>
      <c r="T210" s="2857">
        <f>T234+T258</f>
        <v/>
      </c>
      <c r="U210" s="2858" t="n"/>
      <c r="V210" s="2799" t="n"/>
      <c r="W210" s="2858" t="n"/>
      <c r="X210" s="2857">
        <f>X234+X258</f>
        <v/>
      </c>
      <c r="Y210" s="2858" t="n"/>
      <c r="Z210" s="2799" t="n"/>
      <c r="AA210" s="2858" t="n"/>
      <c r="AB210" s="2857">
        <f>AB234+AB258</f>
        <v/>
      </c>
      <c r="AC210" s="2858" t="n"/>
      <c r="AD210" s="2799" t="n"/>
      <c r="AE210" s="2858" t="n"/>
      <c r="AF210" s="2857">
        <f>AF234+AF258</f>
        <v/>
      </c>
      <c r="AG210" s="2858" t="n"/>
      <c r="AH210" s="2799" t="n"/>
      <c r="AI210" s="2858" t="n"/>
      <c r="AJ210" s="2857">
        <f>AJ234+AJ258</f>
        <v/>
      </c>
      <c r="AK210" s="2858" t="n"/>
      <c r="AL210" s="2789" t="n"/>
      <c r="AM210" s="2858" t="n"/>
      <c r="AN210" s="2857">
        <f>AN234+AN258</f>
        <v/>
      </c>
      <c r="AO210" s="2858" t="n"/>
      <c r="AP210" s="2789" t="n"/>
      <c r="AQ210" s="2858" t="n"/>
      <c r="AR210" s="2857">
        <f>AR234+AR258</f>
        <v/>
      </c>
      <c r="AS210" s="2858" t="n"/>
      <c r="AT210" s="2789" t="n"/>
      <c r="AU210" s="2858" t="n"/>
      <c r="AV210" s="2857">
        <f>AV234+AV258</f>
        <v/>
      </c>
      <c r="AW210" s="2858" t="n"/>
      <c r="AX210" s="2789" t="n"/>
      <c r="AY210" s="2858" t="n"/>
      <c r="AZ210" s="2857">
        <f>SUM(C210:AW210)</f>
        <v/>
      </c>
      <c r="BA210" s="2858" t="n"/>
    </row>
    <row customFormat="1" outlineLevel="1" r="211" s="2216" spans="1:55">
      <c r="A211" s="2865" t="s">
        <v>371</v>
      </c>
      <c r="B211" s="2789" t="n"/>
      <c r="C211" s="2866" t="n"/>
      <c r="D211" s="2857">
        <f>D235+D259</f>
        <v/>
      </c>
      <c r="E211" s="2866" t="n"/>
      <c r="F211" s="2789" t="n"/>
      <c r="G211" s="2866" t="n"/>
      <c r="H211" s="2857">
        <f>H235+H259</f>
        <v/>
      </c>
      <c r="I211" s="2866" t="n"/>
      <c r="J211" s="2789" t="n"/>
      <c r="K211" s="2866" t="n"/>
      <c r="L211" s="2857">
        <f>L235+L259</f>
        <v/>
      </c>
      <c r="M211" s="2866" t="n"/>
      <c r="N211" s="2799" t="n"/>
      <c r="O211" s="2866" t="n"/>
      <c r="P211" s="2857">
        <f>P235+P259</f>
        <v/>
      </c>
      <c r="Q211" s="2866" t="n"/>
      <c r="R211" s="2789" t="n"/>
      <c r="S211" s="2866" t="n"/>
      <c r="T211" s="2857">
        <f>T235+T259</f>
        <v/>
      </c>
      <c r="U211" s="2866" t="n"/>
      <c r="V211" s="2799" t="n"/>
      <c r="W211" s="2866" t="n"/>
      <c r="X211" s="2857">
        <f>X235+X259</f>
        <v/>
      </c>
      <c r="Y211" s="2866" t="n"/>
      <c r="Z211" s="2799" t="n"/>
      <c r="AA211" s="2866" t="n"/>
      <c r="AB211" s="2857">
        <f>AB235+AB259</f>
        <v/>
      </c>
      <c r="AC211" s="2866" t="n"/>
      <c r="AD211" s="2799" t="n"/>
      <c r="AE211" s="2866" t="n"/>
      <c r="AF211" s="2857">
        <f>AF235+AF259</f>
        <v/>
      </c>
      <c r="AG211" s="2866" t="n"/>
      <c r="AH211" s="2799" t="n"/>
      <c r="AI211" s="2866" t="n"/>
      <c r="AJ211" s="2857">
        <f>AJ235+AJ259</f>
        <v/>
      </c>
      <c r="AK211" s="2866" t="n"/>
      <c r="AL211" s="2789" t="n"/>
      <c r="AM211" s="2866" t="n"/>
      <c r="AN211" s="2857">
        <f>AN235+AN259</f>
        <v/>
      </c>
      <c r="AO211" s="2866" t="n"/>
      <c r="AP211" s="2789" t="n"/>
      <c r="AQ211" s="2866" t="n"/>
      <c r="AR211" s="2857">
        <f>AR235+AR259</f>
        <v/>
      </c>
      <c r="AS211" s="2866" t="n"/>
      <c r="AT211" s="2789" t="n"/>
      <c r="AU211" s="2866" t="n"/>
      <c r="AV211" s="2857">
        <f>AV235+AV259</f>
        <v/>
      </c>
      <c r="AW211" s="2866" t="n"/>
      <c r="AX211" s="2789" t="n"/>
      <c r="AY211" s="2866" t="n"/>
      <c r="AZ211" s="2857">
        <f>SUM(C211:AW211)</f>
        <v/>
      </c>
      <c r="BA211" s="2866" t="n"/>
    </row>
    <row customFormat="1" outlineLevel="1" r="212" s="2216" spans="1:55">
      <c r="A212" s="2845" t="s">
        <v>372</v>
      </c>
      <c r="B212" s="2845" t="n"/>
      <c r="C212" s="2841" t="n"/>
      <c r="D212" s="2857">
        <f>D236+D260</f>
        <v/>
      </c>
      <c r="E212" s="2841" t="n"/>
      <c r="F212" s="2845" t="n"/>
      <c r="G212" s="2841" t="n"/>
      <c r="H212" s="2857">
        <f>H236+H260</f>
        <v/>
      </c>
      <c r="I212" s="2841" t="n"/>
      <c r="J212" s="2845" t="n"/>
      <c r="K212" s="2841" t="n"/>
      <c r="L212" s="2857">
        <f>L236+L260</f>
        <v/>
      </c>
      <c r="M212" s="2841" t="n"/>
      <c r="N212" s="2867" t="n"/>
      <c r="O212" s="2841" t="n"/>
      <c r="P212" s="2857">
        <f>P236+P260</f>
        <v/>
      </c>
      <c r="Q212" s="2841" t="n"/>
      <c r="R212" s="2845" t="n"/>
      <c r="S212" s="2841" t="n"/>
      <c r="T212" s="2857">
        <f>T236+T260</f>
        <v/>
      </c>
      <c r="U212" s="2841" t="n"/>
      <c r="V212" s="2867" t="n"/>
      <c r="W212" s="2841" t="n"/>
      <c r="X212" s="2857">
        <f>X236+X260</f>
        <v/>
      </c>
      <c r="Y212" s="2841" t="n"/>
      <c r="Z212" s="2867" t="n"/>
      <c r="AA212" s="2841" t="n"/>
      <c r="AB212" s="2857">
        <f>AB236+AB260</f>
        <v/>
      </c>
      <c r="AC212" s="2841" t="n"/>
      <c r="AD212" s="2867" t="n"/>
      <c r="AE212" s="2841" t="n"/>
      <c r="AF212" s="2857">
        <f>AF236+AF260</f>
        <v/>
      </c>
      <c r="AG212" s="2841" t="n"/>
      <c r="AH212" s="2867" t="n"/>
      <c r="AI212" s="2841" t="n"/>
      <c r="AJ212" s="2857">
        <f>AJ236+AJ260</f>
        <v/>
      </c>
      <c r="AK212" s="2841" t="n"/>
      <c r="AL212" s="2845" t="n"/>
      <c r="AM212" s="2841" t="n"/>
      <c r="AN212" s="2857">
        <f>AN236+AN260</f>
        <v/>
      </c>
      <c r="AO212" s="2841" t="n"/>
      <c r="AP212" s="2845" t="n"/>
      <c r="AQ212" s="2841" t="n"/>
      <c r="AR212" s="2857">
        <f>AR236+AR260</f>
        <v/>
      </c>
      <c r="AS212" s="2841" t="n"/>
      <c r="AT212" s="2845" t="n"/>
      <c r="AU212" s="2841" t="n"/>
      <c r="AV212" s="2857">
        <f>AV236+AV260</f>
        <v/>
      </c>
      <c r="AW212" s="2841" t="n"/>
      <c r="AX212" s="2845" t="n"/>
      <c r="AY212" s="2841" t="n"/>
      <c r="AZ212" s="2857">
        <f>SUM(C212:AW212)</f>
        <v/>
      </c>
      <c r="BA212" s="2841" t="n"/>
    </row>
    <row customFormat="1" outlineLevel="1" r="213" s="2216" spans="1:55">
      <c r="A213" s="2845" t="s">
        <v>89</v>
      </c>
      <c r="B213" s="2845" t="n"/>
      <c r="C213" s="2841">
        <f>C237+C261</f>
        <v/>
      </c>
      <c r="D213" s="2841" t="n"/>
      <c r="E213" s="2841" t="n"/>
      <c r="F213" s="2845" t="n"/>
      <c r="G213" s="2841">
        <f>G237+G261</f>
        <v/>
      </c>
      <c r="H213" s="2841" t="n"/>
      <c r="I213" s="2841" t="n"/>
      <c r="J213" s="2845" t="n"/>
      <c r="K213" s="2841">
        <f>K237+K261</f>
        <v/>
      </c>
      <c r="L213" s="2841" t="n"/>
      <c r="M213" s="2841" t="n"/>
      <c r="N213" s="2867" t="n"/>
      <c r="O213" s="2841">
        <f>O237+O261</f>
        <v/>
      </c>
      <c r="P213" s="2841" t="n"/>
      <c r="Q213" s="2841" t="n"/>
      <c r="R213" s="2845" t="n"/>
      <c r="S213" s="2841">
        <f>S237+S261</f>
        <v/>
      </c>
      <c r="T213" s="2841" t="n"/>
      <c r="U213" s="2841" t="n"/>
      <c r="V213" s="2867" t="n"/>
      <c r="W213" s="2841">
        <f>W237+W261</f>
        <v/>
      </c>
      <c r="X213" s="2841" t="n"/>
      <c r="Y213" s="2841" t="n"/>
      <c r="Z213" s="2867" t="n"/>
      <c r="AA213" s="2841">
        <f>AA237+AA261</f>
        <v/>
      </c>
      <c r="AB213" s="2841" t="n"/>
      <c r="AC213" s="2841" t="n"/>
      <c r="AD213" s="2867" t="n"/>
      <c r="AE213" s="2841">
        <f>AE237+AE261</f>
        <v/>
      </c>
      <c r="AF213" s="2841" t="n"/>
      <c r="AG213" s="2841" t="n"/>
      <c r="AH213" s="2841" t="n"/>
      <c r="AI213" s="2841">
        <f>AI237+AI261</f>
        <v/>
      </c>
      <c r="AJ213" s="2841" t="n"/>
      <c r="AK213" s="2841" t="n"/>
      <c r="AL213" s="2845" t="n"/>
      <c r="AM213" s="2841">
        <f>AM237+AM261</f>
        <v/>
      </c>
      <c r="AN213" s="2841" t="n"/>
      <c r="AO213" s="2841" t="n"/>
      <c r="AP213" s="2845" t="n"/>
      <c r="AQ213" s="2841">
        <f>AQ237+AQ261</f>
        <v/>
      </c>
      <c r="AR213" s="2841" t="n"/>
      <c r="AS213" s="2841" t="n"/>
      <c r="AT213" s="2845" t="n"/>
      <c r="AU213" s="2841">
        <f>AU237+AU261</f>
        <v/>
      </c>
      <c r="AV213" s="2841" t="n"/>
      <c r="AW213" s="2841" t="n"/>
      <c r="AX213" s="2845" t="n"/>
      <c r="AY213" s="2841">
        <f>SUM(B213:AV213)</f>
        <v/>
      </c>
      <c r="AZ213" s="2841" t="n"/>
      <c r="BA213" s="2841" t="n"/>
    </row>
    <row customFormat="1" outlineLevel="1" r="214" s="2216" spans="1:55">
      <c r="A214" s="2845" t="s">
        <v>153</v>
      </c>
      <c r="B214" s="2845" t="n"/>
      <c r="C214" s="2841" t="n"/>
      <c r="D214" s="2841" t="n"/>
      <c r="E214" s="2841">
        <f>SUM(C196:C214)-SUM(D196:D214)</f>
        <v/>
      </c>
      <c r="F214" s="2845" t="n"/>
      <c r="G214" s="2841" t="n"/>
      <c r="H214" s="2841" t="n"/>
      <c r="I214" s="2841">
        <f>SUM(G196:G214)-SUM(H196:H214)</f>
        <v/>
      </c>
      <c r="J214" s="2845" t="n"/>
      <c r="K214" s="2841" t="n"/>
      <c r="L214" s="2841" t="n"/>
      <c r="M214" s="2841">
        <f>SUM(K196:K214)-SUM(L196:L214)</f>
        <v/>
      </c>
      <c r="N214" s="2867" t="n"/>
      <c r="O214" s="2841" t="n"/>
      <c r="P214" s="2841" t="n"/>
      <c r="Q214" s="2841">
        <f>SUM(O196:O214)-SUM(P196:P214)</f>
        <v/>
      </c>
      <c r="R214" s="2845" t="n"/>
      <c r="S214" s="2841" t="n"/>
      <c r="T214" s="2841" t="n"/>
      <c r="U214" s="2841">
        <f>SUM(S196:S214)-SUM(T196:T214)</f>
        <v/>
      </c>
      <c r="V214" s="2867" t="n"/>
      <c r="W214" s="2841" t="n"/>
      <c r="X214" s="2841" t="n"/>
      <c r="Y214" s="2841">
        <f>SUM(W196:W214)-SUM(X196:X214)</f>
        <v/>
      </c>
      <c r="Z214" s="2867" t="n"/>
      <c r="AA214" s="2841" t="n"/>
      <c r="AB214" s="2841" t="n"/>
      <c r="AC214" s="2841">
        <f>SUM(AA196:AA214)-SUM(AB196:AB214)</f>
        <v/>
      </c>
      <c r="AD214" s="2867" t="n"/>
      <c r="AE214" s="2841" t="n"/>
      <c r="AF214" s="2841" t="n"/>
      <c r="AG214" s="2841">
        <f>SUM(AE196:AE214)-SUM(AF196:AF214)</f>
        <v/>
      </c>
      <c r="AH214" s="2867" t="n"/>
      <c r="AI214" s="2841" t="n"/>
      <c r="AJ214" s="2841" t="n"/>
      <c r="AK214" s="2841">
        <f>SUM(AI196:AI214)-SUM(AJ196:AJ214)</f>
        <v/>
      </c>
      <c r="AL214" s="2845" t="n"/>
      <c r="AM214" s="2841" t="n"/>
      <c r="AN214" s="2841" t="n"/>
      <c r="AO214" s="2841">
        <f>SUM(AM196:AM214)-SUM(AN196:AN214)</f>
        <v/>
      </c>
      <c r="AP214" s="2845" t="n"/>
      <c r="AQ214" s="2841" t="n"/>
      <c r="AR214" s="2841" t="n"/>
      <c r="AS214" s="2841">
        <f>SUM(AQ196:AQ214)-SUM(AR196:AR214)</f>
        <v/>
      </c>
      <c r="AT214" s="2845" t="n"/>
      <c r="AU214" s="2841" t="n"/>
      <c r="AV214" s="2841" t="n"/>
      <c r="AW214" s="2841">
        <f>SUM(AU196:AU214)-SUM(AV196:AV214)</f>
        <v/>
      </c>
      <c r="AX214" s="2845" t="n"/>
      <c r="AY214" s="2841" t="n"/>
      <c r="AZ214" s="2841" t="n"/>
      <c r="BA214" s="2841">
        <f>SUM(D214:AY214)</f>
        <v/>
      </c>
    </row>
    <row customFormat="1" outlineLevel="1" r="215" s="2802" spans="1:55">
      <c r="A215" s="2847" t="s">
        <v>173</v>
      </c>
      <c r="B215" s="2847" t="n"/>
      <c r="C215" s="2848">
        <f>SUM(C196:C214)</f>
        <v/>
      </c>
      <c r="D215" s="2848">
        <f>SUM(D196:D214)</f>
        <v/>
      </c>
      <c r="E215" s="2848">
        <f>SUM(E214:E214)</f>
        <v/>
      </c>
      <c r="F215" s="2847" t="n"/>
      <c r="G215" s="2848">
        <f>SUM(G196:G214)</f>
        <v/>
      </c>
      <c r="H215" s="2848">
        <f>SUM(H196:H214)</f>
        <v/>
      </c>
      <c r="I215" s="2848">
        <f>SUM(I214:I214)</f>
        <v/>
      </c>
      <c r="J215" s="2847" t="n"/>
      <c r="K215" s="2848">
        <f>SUM(K196:K214)</f>
        <v/>
      </c>
      <c r="L215" s="2848">
        <f>SUM(L196:L214)</f>
        <v/>
      </c>
      <c r="M215" s="2848">
        <f>SUM(M214:M214)</f>
        <v/>
      </c>
      <c r="N215" s="2868" t="n"/>
      <c r="O215" s="2848">
        <f>SUM(O196:O214)</f>
        <v/>
      </c>
      <c r="P215" s="2848">
        <f>SUM(P196:P214)</f>
        <v/>
      </c>
      <c r="Q215" s="2848">
        <f>SUM(Q214:Q214)</f>
        <v/>
      </c>
      <c r="R215" s="2847" t="n"/>
      <c r="S215" s="2848">
        <f>SUM(S196:S214)</f>
        <v/>
      </c>
      <c r="T215" s="2848">
        <f>SUM(T196:T214)</f>
        <v/>
      </c>
      <c r="U215" s="2848">
        <f>SUM(U214:U214)</f>
        <v/>
      </c>
      <c r="V215" s="2868" t="n"/>
      <c r="W215" s="2848">
        <f>SUM(W196:W214)</f>
        <v/>
      </c>
      <c r="X215" s="2848">
        <f>SUM(X196:X214)</f>
        <v/>
      </c>
      <c r="Y215" s="2848">
        <f>SUM(Y214:Y214)</f>
        <v/>
      </c>
      <c r="Z215" s="2868" t="n"/>
      <c r="AA215" s="2848">
        <f>SUM(AA196:AA214)</f>
        <v/>
      </c>
      <c r="AB215" s="2848">
        <f>SUM(AB196:AB214)</f>
        <v/>
      </c>
      <c r="AC215" s="2848">
        <f>SUM(AC214:AC214)</f>
        <v/>
      </c>
      <c r="AD215" s="2868" t="n"/>
      <c r="AE215" s="2848">
        <f>SUM(AE196:AE214)</f>
        <v/>
      </c>
      <c r="AF215" s="2848">
        <f>SUM(AF196:AF214)</f>
        <v/>
      </c>
      <c r="AG215" s="2848">
        <f>SUM(AG214:AG214)</f>
        <v/>
      </c>
      <c r="AH215" s="2868" t="n"/>
      <c r="AI215" s="2848">
        <f>SUM(AI196:AI214)</f>
        <v/>
      </c>
      <c r="AJ215" s="2848">
        <f>SUM(AJ196:AJ214)</f>
        <v/>
      </c>
      <c r="AK215" s="2848">
        <f>SUM(AK214:AK214)</f>
        <v/>
      </c>
      <c r="AL215" s="2847" t="n"/>
      <c r="AM215" s="2848">
        <f>SUM(AM196:AM214)</f>
        <v/>
      </c>
      <c r="AN215" s="2848">
        <f>SUM(AN196:AN214)</f>
        <v/>
      </c>
      <c r="AO215" s="2848">
        <f>SUM(AO214:AO214)</f>
        <v/>
      </c>
      <c r="AP215" s="2847" t="n"/>
      <c r="AQ215" s="2848">
        <f>SUM(AQ196:AQ214)</f>
        <v/>
      </c>
      <c r="AR215" s="2848">
        <f>SUM(AR196:AR214)</f>
        <v/>
      </c>
      <c r="AS215" s="2848">
        <f>SUM(AS214:AS214)</f>
        <v/>
      </c>
      <c r="AT215" s="2847" t="n"/>
      <c r="AU215" s="2848">
        <f>SUM(AU196:AU214)</f>
        <v/>
      </c>
      <c r="AV215" s="2848">
        <f>SUM(AV196:AV214)</f>
        <v/>
      </c>
      <c r="AW215" s="2848">
        <f>SUM(AW214:AW214)</f>
        <v/>
      </c>
      <c r="AX215" s="2847" t="n"/>
      <c r="AY215" s="2847">
        <f>SUM(AY196:AY214)</f>
        <v/>
      </c>
      <c r="AZ215" s="2847">
        <f>SUM(AZ196:AZ214)</f>
        <v/>
      </c>
      <c r="BA215" s="2847">
        <f>SUM(BA214:BA214)</f>
        <v/>
      </c>
    </row>
    <row customFormat="1" outlineLevel="1" r="216" s="2808" spans="1:55">
      <c r="A216" s="2847" t="s">
        <v>385</v>
      </c>
      <c r="B216" s="2847" t="n"/>
      <c r="C216" s="2848" t="n"/>
      <c r="D216" s="2848" t="n"/>
      <c r="E216" s="2849">
        <f>E215/C215</f>
        <v/>
      </c>
      <c r="F216" s="2847" t="n"/>
      <c r="G216" s="2848" t="n"/>
      <c r="H216" s="2848" t="n"/>
      <c r="I216" s="2849">
        <f>I215/G215</f>
        <v/>
      </c>
      <c r="J216" s="2847" t="n"/>
      <c r="K216" s="2848" t="n"/>
      <c r="L216" s="2848" t="n"/>
      <c r="M216" s="2849">
        <f>M215/K215</f>
        <v/>
      </c>
      <c r="N216" s="2848" t="n"/>
      <c r="O216" s="2848" t="n"/>
      <c r="P216" s="2848" t="n"/>
      <c r="Q216" s="2849">
        <f>Q215/O215</f>
        <v/>
      </c>
      <c r="R216" s="2847" t="n"/>
      <c r="S216" s="2848" t="n"/>
      <c r="T216" s="2848" t="n"/>
      <c r="U216" s="2849">
        <f>U215/S215</f>
        <v/>
      </c>
      <c r="V216" s="2848" t="n"/>
      <c r="W216" s="2848" t="n"/>
      <c r="X216" s="2848" t="n"/>
      <c r="Y216" s="2849">
        <f>Y215/W215</f>
        <v/>
      </c>
      <c r="Z216" s="2848" t="n"/>
      <c r="AA216" s="2848" t="n"/>
      <c r="AB216" s="2848" t="n"/>
      <c r="AC216" s="2849">
        <f>AC215/AA215</f>
        <v/>
      </c>
      <c r="AD216" s="2848" t="n"/>
      <c r="AE216" s="2848" t="n"/>
      <c r="AF216" s="2848" t="n"/>
      <c r="AG216" s="2849">
        <f>AG215/AE215</f>
        <v/>
      </c>
      <c r="AH216" s="2848" t="n"/>
      <c r="AI216" s="2848" t="n"/>
      <c r="AJ216" s="2848" t="n"/>
      <c r="AK216" s="2849">
        <f>AK215/AI215</f>
        <v/>
      </c>
      <c r="AL216" s="2847" t="n"/>
      <c r="AM216" s="2848" t="n"/>
      <c r="AN216" s="2848" t="n"/>
      <c r="AO216" s="2849">
        <f>AO215/AM215</f>
        <v/>
      </c>
      <c r="AP216" s="2847" t="n"/>
      <c r="AQ216" s="2848" t="n"/>
      <c r="AR216" s="2848" t="n"/>
      <c r="AS216" s="2849">
        <f>AS215/AQ215</f>
        <v/>
      </c>
      <c r="AT216" s="2847" t="n"/>
      <c r="AU216" s="2848" t="n"/>
      <c r="AV216" s="2848" t="n"/>
      <c r="AW216" s="2849">
        <f>AW215/AU215</f>
        <v/>
      </c>
      <c r="AX216" s="2847" t="n"/>
      <c r="AY216" s="2847" t="n"/>
      <c r="AZ216" s="2847" t="n"/>
      <c r="BA216" s="2849">
        <f>BA215/AY215</f>
        <v/>
      </c>
    </row>
    <row customFormat="1" outlineLevel="1" r="217" s="2808" spans="1:55">
      <c r="A217" s="2806" t="n"/>
      <c r="B217" s="2806" t="n"/>
      <c r="E217" s="2836" t="n"/>
      <c r="F217" s="2806" t="n"/>
      <c r="I217" s="2836" t="n"/>
      <c r="J217" s="2806" t="n"/>
      <c r="M217" s="2836" t="n"/>
      <c r="Q217" s="2836" t="n"/>
      <c r="R217" s="2806" t="n"/>
      <c r="U217" s="2836" t="n"/>
      <c r="Y217" s="2836" t="n"/>
      <c r="AC217" s="2836" t="n"/>
      <c r="AG217" s="2836" t="n"/>
      <c r="AK217" s="2836" t="n"/>
      <c r="AL217" s="2806" t="n"/>
      <c r="AO217" s="2836" t="n"/>
      <c r="AP217" s="2806" t="n"/>
      <c r="AS217" s="2836" t="n"/>
      <c r="AT217" s="2806" t="n"/>
      <c r="AW217" s="2836" t="n"/>
      <c r="AX217" s="2806" t="n"/>
      <c r="AY217" s="2806" t="n"/>
      <c r="AZ217" s="2806" t="n"/>
      <c r="BA217" s="2836" t="n"/>
    </row>
    <row outlineLevel="2" r="218" s="1843" spans="1:55">
      <c r="A218" s="2854" t="s">
        <v>102</v>
      </c>
      <c r="B218" s="2781" t="n"/>
      <c r="C218" s="2855" t="s">
        <v>62</v>
      </c>
      <c r="F218" s="2781" t="n"/>
      <c r="G218" s="2855" t="s">
        <v>63</v>
      </c>
      <c r="J218" s="2781" t="n"/>
      <c r="K218" s="2855" t="s">
        <v>64</v>
      </c>
      <c r="N218" s="2799" t="n"/>
      <c r="O218" s="2855" t="s">
        <v>174</v>
      </c>
      <c r="R218" s="2781" t="n"/>
      <c r="S218" s="2855" t="s">
        <v>66</v>
      </c>
      <c r="V218" s="2799" t="n"/>
      <c r="W218" s="2855" t="s">
        <v>67</v>
      </c>
      <c r="Z218" s="2799" t="n"/>
      <c r="AA218" s="2855" t="s">
        <v>69</v>
      </c>
      <c r="AD218" s="2799" t="n"/>
      <c r="AE218" s="2855" t="s">
        <v>70</v>
      </c>
      <c r="AH218" s="2799" t="n"/>
      <c r="AI218" s="2855" t="s">
        <v>71</v>
      </c>
      <c r="AL218" s="2781" t="n"/>
      <c r="AM218" s="2855" t="s">
        <v>72</v>
      </c>
      <c r="AP218" s="2781" t="n"/>
      <c r="AQ218" s="2855" t="s">
        <v>73</v>
      </c>
      <c r="AT218" s="2781" t="n"/>
      <c r="AU218" s="2855" t="s">
        <v>74</v>
      </c>
      <c r="AX218" s="2781" t="n"/>
      <c r="AY218" s="2855" t="s">
        <v>173</v>
      </c>
    </row>
    <row outlineLevel="2" r="219" s="1843" spans="1:55">
      <c r="A219" s="2856" t="n"/>
      <c r="B219" s="2785" t="n"/>
      <c r="C219" s="2856" t="s">
        <v>89</v>
      </c>
      <c r="D219" s="2856" t="s">
        <v>152</v>
      </c>
      <c r="E219" s="2856" t="s">
        <v>153</v>
      </c>
      <c r="F219" s="2785" t="n"/>
      <c r="G219" s="2856" t="s">
        <v>89</v>
      </c>
      <c r="H219" s="2856" t="s">
        <v>152</v>
      </c>
      <c r="I219" s="2856" t="s">
        <v>153</v>
      </c>
      <c r="J219" s="2785" t="n"/>
      <c r="K219" s="2856" t="s">
        <v>89</v>
      </c>
      <c r="L219" s="2856" t="s">
        <v>152</v>
      </c>
      <c r="M219" s="2856" t="s">
        <v>153</v>
      </c>
      <c r="N219" s="2799" t="n"/>
      <c r="O219" s="2856" t="s">
        <v>89</v>
      </c>
      <c r="P219" s="2856" t="s">
        <v>152</v>
      </c>
      <c r="Q219" s="2856" t="s">
        <v>153</v>
      </c>
      <c r="R219" s="2785" t="n"/>
      <c r="S219" s="2856" t="s">
        <v>89</v>
      </c>
      <c r="T219" s="2856" t="s">
        <v>152</v>
      </c>
      <c r="U219" s="2856" t="s">
        <v>153</v>
      </c>
      <c r="V219" s="2799" t="n"/>
      <c r="W219" s="2856" t="s">
        <v>89</v>
      </c>
      <c r="X219" s="2856" t="s">
        <v>152</v>
      </c>
      <c r="Y219" s="2856" t="s">
        <v>153</v>
      </c>
      <c r="Z219" s="2799" t="n"/>
      <c r="AA219" s="2856" t="s">
        <v>89</v>
      </c>
      <c r="AB219" s="2856" t="s">
        <v>152</v>
      </c>
      <c r="AC219" s="2856" t="s">
        <v>153</v>
      </c>
      <c r="AD219" s="2799" t="n"/>
      <c r="AE219" s="2856" t="s">
        <v>89</v>
      </c>
      <c r="AF219" s="2856" t="s">
        <v>152</v>
      </c>
      <c r="AG219" s="2856" t="s">
        <v>153</v>
      </c>
      <c r="AH219" s="2799" t="n"/>
      <c r="AI219" s="2856" t="s">
        <v>89</v>
      </c>
      <c r="AJ219" s="2856" t="s">
        <v>152</v>
      </c>
      <c r="AK219" s="2856" t="s">
        <v>153</v>
      </c>
      <c r="AL219" s="2785" t="n"/>
      <c r="AM219" s="2856" t="s">
        <v>89</v>
      </c>
      <c r="AN219" s="2856" t="s">
        <v>152</v>
      </c>
      <c r="AO219" s="2856" t="s">
        <v>153</v>
      </c>
      <c r="AP219" s="2785" t="n"/>
      <c r="AQ219" s="2856" t="s">
        <v>89</v>
      </c>
      <c r="AR219" s="2856" t="s">
        <v>152</v>
      </c>
      <c r="AS219" s="2856" t="s">
        <v>153</v>
      </c>
      <c r="AT219" s="2785" t="n"/>
      <c r="AU219" s="2856" t="s">
        <v>89</v>
      </c>
      <c r="AV219" s="2856" t="s">
        <v>152</v>
      </c>
      <c r="AW219" s="2856" t="s">
        <v>153</v>
      </c>
      <c r="AX219" s="2785" t="n"/>
      <c r="AY219" s="2856" t="s">
        <v>89</v>
      </c>
      <c r="AZ219" s="2856" t="s">
        <v>152</v>
      </c>
      <c r="BA219" s="2856" t="s">
        <v>153</v>
      </c>
    </row>
    <row outlineLevel="2" r="220" s="1843" spans="1:55">
      <c r="A220" s="2857" t="s">
        <v>187</v>
      </c>
      <c r="B220" s="2789" t="n"/>
      <c r="C220" s="2857" t="n"/>
      <c r="D220" s="2842">
        <f>' SET Cost(staf+OS)'!D278/1000</f>
        <v/>
      </c>
      <c r="E220" s="2842" t="n"/>
      <c r="F220" s="2789" t="n"/>
      <c r="G220" s="2842" t="n"/>
      <c r="H220" s="2842">
        <f>' SET Cost(staf+OS)'!E278/1000</f>
        <v/>
      </c>
      <c r="I220" s="2842" t="n"/>
      <c r="J220" s="2789" t="n"/>
      <c r="K220" s="2842" t="n"/>
      <c r="L220" s="2842">
        <f>' SET Cost(staf+OS)'!F278/1000</f>
        <v/>
      </c>
      <c r="M220" s="2842" t="n"/>
      <c r="N220" s="2799" t="n"/>
      <c r="O220" s="2842" t="n"/>
      <c r="P220" s="2842">
        <f>' SET Cost(staf+OS)'!G278/1000</f>
        <v/>
      </c>
      <c r="Q220" s="2842" t="n"/>
      <c r="R220" s="2789" t="n"/>
      <c r="S220" s="2842" t="n"/>
      <c r="T220" s="2842">
        <f>' SET Cost(staf+OS)'!H278/1000</f>
        <v/>
      </c>
      <c r="U220" s="2842" t="n"/>
      <c r="V220" s="2799" t="n"/>
      <c r="W220" s="2842" t="n"/>
      <c r="X220" s="2842">
        <f>' SET Cost(staf+OS)'!I278/1000</f>
        <v/>
      </c>
      <c r="Y220" s="2842" t="n"/>
      <c r="Z220" s="2799" t="n"/>
      <c r="AA220" s="2842" t="n"/>
      <c r="AB220" s="2842">
        <f>' SET Cost(staf+OS)'!J278/1000</f>
        <v/>
      </c>
      <c r="AC220" s="2842" t="n"/>
      <c r="AD220" s="2799" t="n"/>
      <c r="AE220" s="2842" t="n"/>
      <c r="AF220" s="2842">
        <f>' SET Cost(staf+OS)'!K278/1000</f>
        <v/>
      </c>
      <c r="AG220" s="2842" t="n"/>
      <c r="AH220" s="2799" t="n"/>
      <c r="AI220" s="2842" t="n"/>
      <c r="AJ220" s="2842">
        <f>' SET Cost(staf+OS)'!L278/1000</f>
        <v/>
      </c>
      <c r="AK220" s="2842" t="n"/>
      <c r="AL220" s="2789" t="n"/>
      <c r="AM220" s="2842" t="n"/>
      <c r="AN220" s="2842">
        <f>' SET Cost(staf+OS)'!M278/1000</f>
        <v/>
      </c>
      <c r="AO220" s="2842" t="n"/>
      <c r="AP220" s="2789" t="n"/>
      <c r="AQ220" s="2842" t="n"/>
      <c r="AR220" s="2842">
        <f>' SET Cost(staf+OS)'!N278/1000</f>
        <v/>
      </c>
      <c r="AS220" s="2842" t="n"/>
      <c r="AT220" s="2789" t="n"/>
      <c r="AU220" s="2842" t="n"/>
      <c r="AV220" s="2842">
        <f>' SET Cost(staf+OS)'!O278/1000</f>
        <v/>
      </c>
      <c r="AW220" s="2857" t="n"/>
      <c r="AX220" s="2789" t="n"/>
      <c r="AY220" s="2857" t="n"/>
      <c r="AZ220" s="2857">
        <f>SUM(C220:AW220)</f>
        <v/>
      </c>
      <c r="BA220" s="2857" t="n"/>
    </row>
    <row outlineLevel="2" r="221" s="1843" spans="1:55">
      <c r="A221" s="2857" t="s">
        <v>189</v>
      </c>
      <c r="B221" s="2789" t="n"/>
      <c r="C221" s="2858" t="n"/>
      <c r="D221" s="2842">
        <f>' SET Cost(staf+OS)'!D279/1000</f>
        <v/>
      </c>
      <c r="E221" s="2842" t="n"/>
      <c r="F221" s="2789" t="n"/>
      <c r="G221" s="2842" t="n"/>
      <c r="H221" s="2842">
        <f>' SET Cost(staf+OS)'!E279/1000</f>
        <v/>
      </c>
      <c r="I221" s="2842" t="n"/>
      <c r="J221" s="2789" t="n"/>
      <c r="K221" s="2842" t="n"/>
      <c r="L221" s="2842">
        <f>' SET Cost(staf+OS)'!F279/1000</f>
        <v/>
      </c>
      <c r="M221" s="2842" t="n"/>
      <c r="N221" s="2799" t="n"/>
      <c r="O221" s="2842" t="n"/>
      <c r="P221" s="2842">
        <f>' SET Cost(staf+OS)'!G279/1000</f>
        <v/>
      </c>
      <c r="Q221" s="2842" t="n"/>
      <c r="R221" s="2789" t="n"/>
      <c r="S221" s="2842" t="n"/>
      <c r="T221" s="2842">
        <f>' SET Cost(staf+OS)'!H279/1000</f>
        <v/>
      </c>
      <c r="U221" s="2842" t="n"/>
      <c r="V221" s="2799" t="n"/>
      <c r="W221" s="2842" t="n"/>
      <c r="X221" s="2842">
        <f>' SET Cost(staf+OS)'!I279/1000</f>
        <v/>
      </c>
      <c r="Y221" s="2842" t="n"/>
      <c r="Z221" s="2799" t="n"/>
      <c r="AA221" s="2842" t="n"/>
      <c r="AB221" s="2842">
        <f>' SET Cost(staf+OS)'!J279/1000</f>
        <v/>
      </c>
      <c r="AC221" s="2842" t="n"/>
      <c r="AD221" s="2799" t="n"/>
      <c r="AE221" s="2842" t="n"/>
      <c r="AF221" s="2842">
        <f>' SET Cost(staf+OS)'!K279/1000</f>
        <v/>
      </c>
      <c r="AG221" s="2842" t="n"/>
      <c r="AH221" s="2799" t="n"/>
      <c r="AI221" s="2842" t="n"/>
      <c r="AJ221" s="2842">
        <f>' SET Cost(staf+OS)'!L279/1000</f>
        <v/>
      </c>
      <c r="AK221" s="2842" t="n"/>
      <c r="AL221" s="2789" t="n"/>
      <c r="AM221" s="2842" t="n"/>
      <c r="AN221" s="2842">
        <f>' SET Cost(staf+OS)'!M279/1000</f>
        <v/>
      </c>
      <c r="AO221" s="2842" t="n"/>
      <c r="AP221" s="2789" t="n"/>
      <c r="AQ221" s="2842" t="n"/>
      <c r="AR221" s="2842">
        <f>' SET Cost(staf+OS)'!N279/1000</f>
        <v/>
      </c>
      <c r="AS221" s="2842" t="n"/>
      <c r="AT221" s="2789" t="n"/>
      <c r="AU221" s="2842" t="n"/>
      <c r="AV221" s="2842">
        <f>' SET Cost(staf+OS)'!O279/1000</f>
        <v/>
      </c>
      <c r="AW221" s="2858" t="n"/>
      <c r="AX221" s="2789" t="n"/>
      <c r="AY221" s="2858" t="n"/>
      <c r="AZ221" s="2857">
        <f>SUM(C221:AW221)</f>
        <v/>
      </c>
      <c r="BA221" s="2858" t="n"/>
    </row>
    <row outlineLevel="2" r="222" s="1843" spans="1:55">
      <c r="A222" s="2857" t="s">
        <v>252</v>
      </c>
      <c r="B222" s="2789" t="n"/>
      <c r="C222" s="2858" t="n"/>
      <c r="D222" s="2842">
        <f>' SET Cost(staf+OS)'!D280/1000</f>
        <v/>
      </c>
      <c r="E222" s="2842" t="n"/>
      <c r="F222" s="2789" t="n"/>
      <c r="G222" s="2842" t="n"/>
      <c r="H222" s="2842">
        <f>' SET Cost(staf+OS)'!E280/1000</f>
        <v/>
      </c>
      <c r="I222" s="2842" t="n"/>
      <c r="J222" s="2789" t="n"/>
      <c r="K222" s="2842" t="n"/>
      <c r="L222" s="2842">
        <f>' SET Cost(staf+OS)'!F280/1000</f>
        <v/>
      </c>
      <c r="M222" s="2842" t="n"/>
      <c r="N222" s="2799" t="n"/>
      <c r="O222" s="2842" t="n"/>
      <c r="P222" s="2842">
        <f>' SET Cost(staf+OS)'!G280/1000</f>
        <v/>
      </c>
      <c r="Q222" s="2842" t="n"/>
      <c r="R222" s="2789" t="n"/>
      <c r="S222" s="2842" t="n"/>
      <c r="T222" s="2842">
        <f>' SET Cost(staf+OS)'!H280/1000</f>
        <v/>
      </c>
      <c r="U222" s="2842" t="n"/>
      <c r="V222" s="2799" t="n"/>
      <c r="W222" s="2842" t="n"/>
      <c r="X222" s="2842">
        <f>' SET Cost(staf+OS)'!I280/1000</f>
        <v/>
      </c>
      <c r="Y222" s="2842" t="n"/>
      <c r="Z222" s="2799" t="n"/>
      <c r="AA222" s="2842" t="n"/>
      <c r="AB222" s="2842">
        <f>' SET Cost(staf+OS)'!J280/1000</f>
        <v/>
      </c>
      <c r="AC222" s="2842" t="n"/>
      <c r="AD222" s="2799" t="n"/>
      <c r="AE222" s="2842" t="n"/>
      <c r="AF222" s="2842">
        <f>' SET Cost(staf+OS)'!K280/1000</f>
        <v/>
      </c>
      <c r="AG222" s="2842" t="n"/>
      <c r="AH222" s="2799" t="n"/>
      <c r="AI222" s="2842" t="n"/>
      <c r="AJ222" s="2842">
        <f>' SET Cost(staf+OS)'!L280/1000</f>
        <v/>
      </c>
      <c r="AK222" s="2842" t="n"/>
      <c r="AL222" s="2789" t="n"/>
      <c r="AM222" s="2842" t="n"/>
      <c r="AN222" s="2842">
        <f>' SET Cost(staf+OS)'!M280/1000</f>
        <v/>
      </c>
      <c r="AO222" s="2842" t="n"/>
      <c r="AP222" s="2789" t="n"/>
      <c r="AQ222" s="2842" t="n"/>
      <c r="AR222" s="2842">
        <f>' SET Cost(staf+OS)'!N280/1000</f>
        <v/>
      </c>
      <c r="AS222" s="2842" t="n"/>
      <c r="AT222" s="2789" t="n"/>
      <c r="AU222" s="2842" t="n"/>
      <c r="AV222" s="2842">
        <f>' SET Cost(staf+OS)'!O280/1000</f>
        <v/>
      </c>
      <c r="AW222" s="2858" t="n"/>
      <c r="AX222" s="2789" t="n"/>
      <c r="AY222" s="2858" t="n"/>
      <c r="AZ222" s="2857">
        <f>SUM(C222:AW222)</f>
        <v/>
      </c>
      <c r="BA222" s="2858" t="n"/>
    </row>
    <row outlineLevel="2" r="223" s="1843" spans="1:55">
      <c r="A223" s="2857" t="s">
        <v>191</v>
      </c>
      <c r="B223" s="2789" t="n"/>
      <c r="C223" s="2858" t="n"/>
      <c r="D223" s="2842">
        <f>' SET Cost(staf+OS)'!D281/1000</f>
        <v/>
      </c>
      <c r="E223" s="2842" t="n"/>
      <c r="F223" s="2789" t="n"/>
      <c r="G223" s="2842" t="n"/>
      <c r="H223" s="2842">
        <f>' SET Cost(staf+OS)'!E281/1000</f>
        <v/>
      </c>
      <c r="I223" s="2842" t="n"/>
      <c r="J223" s="2789" t="n"/>
      <c r="K223" s="2842" t="n"/>
      <c r="L223" s="2842">
        <f>' SET Cost(staf+OS)'!F281/1000</f>
        <v/>
      </c>
      <c r="M223" s="2842" t="n"/>
      <c r="N223" s="2799" t="n"/>
      <c r="O223" s="2842" t="n"/>
      <c r="P223" s="2842">
        <f>' SET Cost(staf+OS)'!G281/1000</f>
        <v/>
      </c>
      <c r="Q223" s="2842" t="n"/>
      <c r="R223" s="2789" t="n"/>
      <c r="S223" s="2842" t="n"/>
      <c r="T223" s="2842">
        <f>' SET Cost(staf+OS)'!H281/1000</f>
        <v/>
      </c>
      <c r="U223" s="2842" t="n"/>
      <c r="V223" s="2799" t="n"/>
      <c r="W223" s="2842" t="n"/>
      <c r="X223" s="2842">
        <f>' SET Cost(staf+OS)'!I281/1000</f>
        <v/>
      </c>
      <c r="Y223" s="2842" t="n"/>
      <c r="Z223" s="2799" t="n"/>
      <c r="AA223" s="2842" t="n"/>
      <c r="AB223" s="2842">
        <f>' SET Cost(staf+OS)'!J281/1000</f>
        <v/>
      </c>
      <c r="AC223" s="2842" t="n"/>
      <c r="AD223" s="2799" t="n"/>
      <c r="AE223" s="2842" t="n"/>
      <c r="AF223" s="2842">
        <f>' SET Cost(staf+OS)'!K281/1000</f>
        <v/>
      </c>
      <c r="AG223" s="2842" t="n"/>
      <c r="AH223" s="2799" t="n"/>
      <c r="AI223" s="2842" t="n"/>
      <c r="AJ223" s="2842">
        <f>' SET Cost(staf+OS)'!L281/1000</f>
        <v/>
      </c>
      <c r="AK223" s="2842" t="n"/>
      <c r="AL223" s="2789" t="n"/>
      <c r="AM223" s="2842" t="n"/>
      <c r="AN223" s="2842">
        <f>' SET Cost(staf+OS)'!M281/1000</f>
        <v/>
      </c>
      <c r="AO223" s="2842" t="n"/>
      <c r="AP223" s="2789" t="n"/>
      <c r="AQ223" s="2842" t="n"/>
      <c r="AR223" s="2842">
        <f>' SET Cost(staf+OS)'!N281/1000</f>
        <v/>
      </c>
      <c r="AS223" s="2842" t="n"/>
      <c r="AT223" s="2789" t="n"/>
      <c r="AU223" s="2842" t="n"/>
      <c r="AV223" s="2842">
        <f>' SET Cost(staf+OS)'!O281/1000</f>
        <v/>
      </c>
      <c r="AW223" s="2858" t="n"/>
      <c r="AX223" s="2789" t="n"/>
      <c r="AY223" s="2858" t="n"/>
      <c r="AZ223" s="2857">
        <f>SUM(C223:AW223)</f>
        <v/>
      </c>
      <c r="BA223" s="2858" t="n"/>
    </row>
    <row outlineLevel="2" r="224" s="1843" spans="1:55">
      <c r="A224" s="2857" t="s">
        <v>192</v>
      </c>
      <c r="B224" s="2789" t="n"/>
      <c r="C224" s="2858" t="n"/>
      <c r="D224" s="2842">
        <f>' SET Cost(staf+OS)'!D282/1000</f>
        <v/>
      </c>
      <c r="E224" s="2842" t="n"/>
      <c r="F224" s="2789" t="n"/>
      <c r="G224" s="2842" t="n"/>
      <c r="H224" s="2842">
        <f>' SET Cost(staf+OS)'!E282/1000</f>
        <v/>
      </c>
      <c r="I224" s="2842" t="n"/>
      <c r="J224" s="2789" t="n"/>
      <c r="K224" s="2842" t="n"/>
      <c r="L224" s="2842">
        <f>' SET Cost(staf+OS)'!F282/1000</f>
        <v/>
      </c>
      <c r="M224" s="2842" t="n"/>
      <c r="N224" s="2799" t="n"/>
      <c r="O224" s="2842" t="n"/>
      <c r="P224" s="2842">
        <f>' SET Cost(staf+OS)'!G282/1000</f>
        <v/>
      </c>
      <c r="Q224" s="2842" t="n"/>
      <c r="R224" s="2789" t="n"/>
      <c r="S224" s="2842" t="n"/>
      <c r="T224" s="2842">
        <f>' SET Cost(staf+OS)'!H282/1000</f>
        <v/>
      </c>
      <c r="U224" s="2842" t="n"/>
      <c r="V224" s="2799" t="n"/>
      <c r="W224" s="2842" t="n"/>
      <c r="X224" s="2842">
        <f>' SET Cost(staf+OS)'!I282/1000</f>
        <v/>
      </c>
      <c r="Y224" s="2842" t="n"/>
      <c r="Z224" s="2799" t="n"/>
      <c r="AA224" s="2842" t="n"/>
      <c r="AB224" s="2842">
        <f>' SET Cost(staf+OS)'!J282/1000</f>
        <v/>
      </c>
      <c r="AC224" s="2842" t="n"/>
      <c r="AD224" s="2799" t="n"/>
      <c r="AE224" s="2842" t="n"/>
      <c r="AF224" s="2842">
        <f>' SET Cost(staf+OS)'!K282/1000</f>
        <v/>
      </c>
      <c r="AG224" s="2842" t="n"/>
      <c r="AH224" s="2799" t="n"/>
      <c r="AI224" s="2842" t="n"/>
      <c r="AJ224" s="2842">
        <f>' SET Cost(staf+OS)'!L282/1000</f>
        <v/>
      </c>
      <c r="AK224" s="2842" t="n"/>
      <c r="AL224" s="2789" t="n"/>
      <c r="AM224" s="2842" t="n"/>
      <c r="AN224" s="2842">
        <f>' SET Cost(staf+OS)'!M282/1000</f>
        <v/>
      </c>
      <c r="AO224" s="2842" t="n"/>
      <c r="AP224" s="2789" t="n"/>
      <c r="AQ224" s="2842" t="n"/>
      <c r="AR224" s="2842">
        <f>' SET Cost(staf+OS)'!N282/1000</f>
        <v/>
      </c>
      <c r="AS224" s="2842" t="n"/>
      <c r="AT224" s="2789" t="n"/>
      <c r="AU224" s="2842" t="n"/>
      <c r="AV224" s="2842">
        <f>' SET Cost(staf+OS)'!O282/1000</f>
        <v/>
      </c>
      <c r="AW224" s="2858" t="n"/>
      <c r="AX224" s="2789" t="n"/>
      <c r="AY224" s="2858" t="n"/>
      <c r="AZ224" s="2857">
        <f>SUM(C224:AW224)</f>
        <v/>
      </c>
      <c r="BA224" s="2858" t="n"/>
    </row>
    <row outlineLevel="2" r="225" s="1843" spans="1:55">
      <c r="A225" s="2857" t="s">
        <v>194</v>
      </c>
      <c r="B225" s="2789" t="n"/>
      <c r="C225" s="2858" t="n"/>
      <c r="D225" s="2842">
        <f>' SET Cost(staf+OS)'!D283/1000+'OS&amp;Travel Exp'!C54/1000</f>
        <v/>
      </c>
      <c r="E225" s="2842" t="n"/>
      <c r="F225" s="2789" t="n"/>
      <c r="G225" s="2842" t="n"/>
      <c r="H225" s="2842">
        <f>' SET Cost(staf+OS)'!E283/1000+'OS&amp;Travel Exp'!D54/1000</f>
        <v/>
      </c>
      <c r="I225" s="2842" t="n"/>
      <c r="J225" s="2789" t="n"/>
      <c r="K225" s="2842" t="n"/>
      <c r="L225" s="2842">
        <f>' SET Cost(staf+OS)'!F283/1000+'OS&amp;Travel Exp'!E54/1000</f>
        <v/>
      </c>
      <c r="M225" s="2842" t="n"/>
      <c r="N225" s="2799" t="n"/>
      <c r="O225" s="2842" t="n"/>
      <c r="P225" s="2842">
        <f>' SET Cost(staf+OS)'!G180/1000</f>
        <v/>
      </c>
      <c r="Q225" s="2842" t="n"/>
      <c r="R225" s="2789" t="n"/>
      <c r="S225" s="2842" t="n"/>
      <c r="T225" s="2842">
        <f>' SET Cost(staf+OS)'!H283/1000+'OS&amp;Travel Exp'!G54/1000</f>
        <v/>
      </c>
      <c r="U225" s="2842" t="n"/>
      <c r="V225" s="2799" t="n"/>
      <c r="W225" s="2842" t="n"/>
      <c r="X225" s="2842">
        <f>' SET Cost(staf+OS)'!I283/1000+'OS&amp;Travel Exp'!H54/1000</f>
        <v/>
      </c>
      <c r="Y225" s="2842" t="n"/>
      <c r="Z225" s="2799" t="n"/>
      <c r="AA225" s="2842" t="n"/>
      <c r="AB225" s="2842">
        <f>' SET Cost(staf+OS)'!J283/1000+'OS&amp;Travel Exp'!I54/1000</f>
        <v/>
      </c>
      <c r="AC225" s="2842" t="n"/>
      <c r="AD225" s="2799" t="n"/>
      <c r="AE225" s="2842" t="n"/>
      <c r="AF225" s="2842">
        <f>' SET Cost(staf+OS)'!K283/1000+'OS&amp;Travel Exp'!J54/1000</f>
        <v/>
      </c>
      <c r="AG225" s="2842" t="n"/>
      <c r="AH225" s="2799" t="n"/>
      <c r="AI225" s="2842" t="n"/>
      <c r="AJ225" s="2842">
        <f>' SET Cost(staf+OS)'!L283/1000+'OS&amp;Travel Exp'!K54/1000</f>
        <v/>
      </c>
      <c r="AK225" s="2842" t="n"/>
      <c r="AL225" s="2789" t="n"/>
      <c r="AM225" s="2842" t="n"/>
      <c r="AN225" s="2842">
        <f>' SET Cost(staf+OS)'!M283/1000+'OS&amp;Travel Exp'!L54/1000</f>
        <v/>
      </c>
      <c r="AO225" s="2842" t="n"/>
      <c r="AP225" s="2789" t="n"/>
      <c r="AQ225" s="2842" t="n"/>
      <c r="AR225" s="2842">
        <f>' SET Cost(staf+OS)'!N283/1000+'OS&amp;Travel Exp'!M54/1000</f>
        <v/>
      </c>
      <c r="AS225" s="2842" t="n"/>
      <c r="AT225" s="2789" t="n"/>
      <c r="AU225" s="2842" t="n"/>
      <c r="AV225" s="2842">
        <f>' SET Cost(staf+OS)'!O283/1000+'OS&amp;Travel Exp'!N54/1000</f>
        <v/>
      </c>
      <c r="AW225" s="2858" t="n"/>
      <c r="AX225" s="2789" t="n"/>
      <c r="AY225" s="2858" t="n"/>
      <c r="AZ225" s="2857">
        <f>SUM(C225:AW225)</f>
        <v/>
      </c>
      <c r="BA225" s="2858" t="n"/>
    </row>
    <row outlineLevel="2" r="226" s="1843" spans="1:55">
      <c r="A226" s="2857" t="s">
        <v>195</v>
      </c>
      <c r="B226" s="2789" t="n"/>
      <c r="C226" s="2857" t="n"/>
      <c r="D226" s="2842">
        <f>' SET Cost(staf+OS)'!D284/1000+'OS&amp;Travel Exp'!C31/1000</f>
        <v/>
      </c>
      <c r="E226" s="2842" t="n"/>
      <c r="F226" s="2789" t="n"/>
      <c r="G226" s="2842" t="n"/>
      <c r="H226" s="2842">
        <f>' SET Cost(staf+OS)'!E284/1000+'OS&amp;Travel Exp'!D31/1000</f>
        <v/>
      </c>
      <c r="I226" s="2842" t="n"/>
      <c r="J226" s="2789" t="n"/>
      <c r="K226" s="2842" t="n"/>
      <c r="L226" s="2842">
        <f>' SET Cost(staf+OS)'!F284/1000+'OS&amp;Travel Exp'!E31/1000</f>
        <v/>
      </c>
      <c r="M226" s="2842" t="n"/>
      <c r="N226" s="2799" t="n"/>
      <c r="O226" s="2842" t="n"/>
      <c r="P226" s="2842">
        <f>' SET Cost(staf+OS)'!G284/1000+'OS&amp;Travel Exp'!F31/1000</f>
        <v/>
      </c>
      <c r="Q226" s="2842" t="n"/>
      <c r="R226" s="2789" t="n"/>
      <c r="S226" s="2842" t="n"/>
      <c r="T226" s="2842">
        <f>' SET Cost(staf+OS)'!H284/1000+'OS&amp;Travel Exp'!G31/1000</f>
        <v/>
      </c>
      <c r="U226" s="2842" t="n"/>
      <c r="V226" s="2799" t="n"/>
      <c r="W226" s="2842" t="n"/>
      <c r="X226" s="2842">
        <f>' SET Cost(staf+OS)'!I284/1000+'OS&amp;Travel Exp'!H31/1000</f>
        <v/>
      </c>
      <c r="Y226" s="2842" t="n"/>
      <c r="Z226" s="2799" t="n"/>
      <c r="AA226" s="2842" t="n"/>
      <c r="AB226" s="2842">
        <f>' SET Cost(staf+OS)'!J284/1000+'OS&amp;Travel Exp'!I31/1000</f>
        <v/>
      </c>
      <c r="AC226" s="2842" t="n"/>
      <c r="AD226" s="2799" t="n"/>
      <c r="AE226" s="2842" t="n"/>
      <c r="AF226" s="2842">
        <f>' SET Cost(staf+OS)'!K284/1000+'OS&amp;Travel Exp'!J31/1000</f>
        <v/>
      </c>
      <c r="AG226" s="2842" t="n"/>
      <c r="AH226" s="2799" t="n"/>
      <c r="AI226" s="2842" t="n"/>
      <c r="AJ226" s="2842">
        <f>' SET Cost(staf+OS)'!L284/1000+'OS&amp;Travel Exp'!K31/1000</f>
        <v/>
      </c>
      <c r="AK226" s="2842" t="n"/>
      <c r="AL226" s="2789" t="n"/>
      <c r="AM226" s="2842" t="n"/>
      <c r="AN226" s="2842">
        <f>' SET Cost(staf+OS)'!M284/1000+'OS&amp;Travel Exp'!L31/1000</f>
        <v/>
      </c>
      <c r="AO226" s="2842" t="n"/>
      <c r="AP226" s="2789" t="n"/>
      <c r="AQ226" s="2842" t="n"/>
      <c r="AR226" s="2842">
        <f>' SET Cost(staf+OS)'!N284/1000+'OS&amp;Travel Exp'!M31/1000</f>
        <v/>
      </c>
      <c r="AS226" s="2842" t="n"/>
      <c r="AT226" s="2789" t="n"/>
      <c r="AU226" s="2842" t="n"/>
      <c r="AV226" s="2842">
        <f>' SET Cost(staf+OS)'!O284/1000+'OS&amp;Travel Exp'!N31/1000</f>
        <v/>
      </c>
      <c r="AW226" s="2857" t="n"/>
      <c r="AX226" s="2789" t="n"/>
      <c r="AY226" s="2857" t="n"/>
      <c r="AZ226" s="2857">
        <f>SUM(C226:AW226)</f>
        <v/>
      </c>
      <c r="BA226" s="2857" t="n"/>
    </row>
    <row outlineLevel="2" r="227" s="1843" spans="1:55">
      <c r="A227" s="2794" t="s">
        <v>366</v>
      </c>
      <c r="B227" s="2793" t="n"/>
      <c r="C227" s="2794" t="n"/>
      <c r="D227" s="2844">
        <f>'OS&amp;Travel Exp'!C6</f>
        <v/>
      </c>
      <c r="E227" s="2844" t="n"/>
      <c r="F227" s="2793" t="n"/>
      <c r="G227" s="2844" t="n"/>
      <c r="H227" s="2844">
        <f>'OS&amp;Travel Exp'!D6</f>
        <v/>
      </c>
      <c r="I227" s="2844" t="n"/>
      <c r="J227" s="2793" t="n"/>
      <c r="K227" s="2844" t="n"/>
      <c r="L227" s="2844">
        <f>'OS&amp;Travel Exp'!E6</f>
        <v/>
      </c>
      <c r="M227" s="2844" t="n"/>
      <c r="N227" s="2795" t="n"/>
      <c r="O227" s="2844" t="n"/>
      <c r="P227" s="2844">
        <f>'OS&amp;Travel Exp'!F6</f>
        <v/>
      </c>
      <c r="Q227" s="2844" t="n"/>
      <c r="R227" s="2793" t="n"/>
      <c r="S227" s="2844" t="n"/>
      <c r="T227" s="2844">
        <f>'OS&amp;Travel Exp'!G6</f>
        <v/>
      </c>
      <c r="U227" s="2844" t="n"/>
      <c r="V227" s="2795" t="n"/>
      <c r="W227" s="2844" t="n"/>
      <c r="X227" s="2844">
        <f>'OS&amp;Travel Exp'!H6</f>
        <v/>
      </c>
      <c r="Y227" s="2844" t="n"/>
      <c r="Z227" s="2795" t="n"/>
      <c r="AA227" s="2844" t="n"/>
      <c r="AB227" s="2844">
        <f>'OS&amp;Travel Exp'!I6</f>
        <v/>
      </c>
      <c r="AC227" s="2844" t="n"/>
      <c r="AD227" s="2795" t="n"/>
      <c r="AE227" s="2844" t="n"/>
      <c r="AF227" s="2844">
        <f>'OS&amp;Travel Exp'!J6</f>
        <v/>
      </c>
      <c r="AG227" s="2844" t="n"/>
      <c r="AH227" s="2795" t="n"/>
      <c r="AI227" s="2844" t="n"/>
      <c r="AJ227" s="2844">
        <f>'OS&amp;Travel Exp'!K6</f>
        <v/>
      </c>
      <c r="AK227" s="2844" t="n"/>
      <c r="AL227" s="2793" t="n"/>
      <c r="AM227" s="2844" t="n"/>
      <c r="AN227" s="2844">
        <f>'OS&amp;Travel Exp'!L6</f>
        <v/>
      </c>
      <c r="AO227" s="2844" t="n"/>
      <c r="AP227" s="2793" t="n"/>
      <c r="AQ227" s="2844" t="n"/>
      <c r="AR227" s="2844">
        <f>'OS&amp;Travel Exp'!M6</f>
        <v/>
      </c>
      <c r="AS227" s="2844" t="n"/>
      <c r="AT227" s="2793" t="n"/>
      <c r="AU227" s="2844" t="n"/>
      <c r="AV227" s="2844">
        <f>'OS&amp;Travel Exp'!N6</f>
        <v/>
      </c>
      <c r="AW227" s="2794" t="n"/>
      <c r="AX227" s="2793" t="n"/>
      <c r="AY227" s="2794" t="n"/>
      <c r="AZ227" s="2794">
        <f>SUM(C227:AW227)</f>
        <v/>
      </c>
      <c r="BA227" s="2794" t="n"/>
    </row>
    <row outlineLevel="2" r="228" s="1843" spans="1:55">
      <c r="A228" s="2857" t="s">
        <v>161</v>
      </c>
      <c r="B228" s="2789" t="n"/>
      <c r="C228" s="2857" t="n"/>
      <c r="D228" s="2842">
        <f>' SET Cost(staf+OS)'!D286/1000</f>
        <v/>
      </c>
      <c r="E228" s="2842" t="n"/>
      <c r="F228" s="2789" t="n"/>
      <c r="G228" s="2842" t="n"/>
      <c r="H228" s="2842">
        <f>' SET Cost(staf+OS)'!E286/1000</f>
        <v/>
      </c>
      <c r="I228" s="2842" t="n"/>
      <c r="J228" s="2789" t="n"/>
      <c r="K228" s="2842" t="n"/>
      <c r="L228" s="2842">
        <f>' SET Cost(staf+OS)'!F286/1000</f>
        <v/>
      </c>
      <c r="M228" s="2842" t="n"/>
      <c r="N228" s="2799" t="n"/>
      <c r="O228" s="2842" t="n"/>
      <c r="P228" s="2842">
        <f>' SET Cost(staf+OS)'!G286/1000</f>
        <v/>
      </c>
      <c r="Q228" s="2842" t="n"/>
      <c r="R228" s="2789" t="n"/>
      <c r="S228" s="2842" t="n"/>
      <c r="T228" s="2842">
        <f>' SET Cost(staf+OS)'!H286/1000</f>
        <v/>
      </c>
      <c r="U228" s="2842" t="n"/>
      <c r="V228" s="2799" t="n"/>
      <c r="W228" s="2842" t="n"/>
      <c r="X228" s="2842">
        <f>' SET Cost(staf+OS)'!I286/1000</f>
        <v/>
      </c>
      <c r="Y228" s="2842" t="n"/>
      <c r="Z228" s="2799" t="n"/>
      <c r="AA228" s="2842" t="n"/>
      <c r="AB228" s="2842">
        <f>' SET Cost(staf+OS)'!J286/1000</f>
        <v/>
      </c>
      <c r="AC228" s="2842" t="n"/>
      <c r="AD228" s="2799" t="n"/>
      <c r="AE228" s="2842" t="n"/>
      <c r="AF228" s="2842">
        <f>' SET Cost(staf+OS)'!K286/1000</f>
        <v/>
      </c>
      <c r="AG228" s="2842" t="n"/>
      <c r="AH228" s="2799" t="n"/>
      <c r="AI228" s="2842" t="n"/>
      <c r="AJ228" s="2842">
        <f>' SET Cost(staf+OS)'!L286/1000</f>
        <v/>
      </c>
      <c r="AK228" s="2842" t="n"/>
      <c r="AL228" s="2789" t="n"/>
      <c r="AM228" s="2842" t="n"/>
      <c r="AN228" s="2842">
        <f>' SET Cost(staf+OS)'!M286/1000</f>
        <v/>
      </c>
      <c r="AO228" s="2842" t="n"/>
      <c r="AP228" s="2789" t="n"/>
      <c r="AQ228" s="2842" t="n"/>
      <c r="AR228" s="2842">
        <f>' SET Cost(staf+OS)'!N286/1000</f>
        <v/>
      </c>
      <c r="AS228" s="2842" t="n"/>
      <c r="AT228" s="2789" t="n"/>
      <c r="AU228" s="2842" t="n"/>
      <c r="AV228" s="2842">
        <f>' SET Cost(staf+OS)'!O286/1000</f>
        <v/>
      </c>
      <c r="AW228" s="2857" t="n"/>
      <c r="AX228" s="2789" t="n"/>
      <c r="AY228" s="2857" t="n"/>
      <c r="AZ228" s="2857">
        <f>SUM(C228:AW228)</f>
        <v/>
      </c>
      <c r="BA228" s="2857" t="n"/>
    </row>
    <row outlineLevel="2" r="229" s="1843" spans="1:55">
      <c r="A229" s="2859" t="s">
        <v>367</v>
      </c>
      <c r="B229" s="2789" t="n"/>
      <c r="C229" s="2858" t="n"/>
      <c r="D229" s="2842">
        <f>' SET Cost(staf+OS)'!D287/1000</f>
        <v/>
      </c>
      <c r="E229" s="2842" t="n"/>
      <c r="F229" s="2789" t="n"/>
      <c r="G229" s="2842" t="n"/>
      <c r="H229" s="2842">
        <f>' SET Cost(staf+OS)'!E287/1000</f>
        <v/>
      </c>
      <c r="I229" s="2842" t="n"/>
      <c r="J229" s="2789" t="n"/>
      <c r="K229" s="2842" t="n"/>
      <c r="L229" s="2842">
        <f>' SET Cost(staf+OS)'!F287/1000</f>
        <v/>
      </c>
      <c r="M229" s="2842" t="n"/>
      <c r="N229" s="2799" t="n"/>
      <c r="O229" s="2842" t="n"/>
      <c r="P229" s="2842">
        <f>' SET Cost(staf+OS)'!G287/1000</f>
        <v/>
      </c>
      <c r="Q229" s="2842" t="n"/>
      <c r="R229" s="2789" t="n"/>
      <c r="S229" s="2842" t="n"/>
      <c r="T229" s="2842">
        <f>' SET Cost(staf+OS)'!H287/1000</f>
        <v/>
      </c>
      <c r="U229" s="2842" t="n"/>
      <c r="V229" s="2799" t="n"/>
      <c r="W229" s="2842" t="n"/>
      <c r="X229" s="2842">
        <f>' SET Cost(staf+OS)'!I287/1000</f>
        <v/>
      </c>
      <c r="Y229" s="2842" t="n"/>
      <c r="Z229" s="2799" t="n"/>
      <c r="AA229" s="2842" t="n"/>
      <c r="AB229" s="2842">
        <f>' SET Cost(staf+OS)'!J287/1000</f>
        <v/>
      </c>
      <c r="AC229" s="2842" t="n"/>
      <c r="AD229" s="2799" t="n"/>
      <c r="AE229" s="2842" t="n"/>
      <c r="AF229" s="2842">
        <f>' SET Cost(staf+OS)'!K287/1000</f>
        <v/>
      </c>
      <c r="AG229" s="2842" t="n"/>
      <c r="AH229" s="2799" t="n"/>
      <c r="AI229" s="2842" t="n"/>
      <c r="AJ229" s="2842">
        <f>' SET Cost(staf+OS)'!L287/1000</f>
        <v/>
      </c>
      <c r="AK229" s="2842" t="n"/>
      <c r="AL229" s="2789" t="n"/>
      <c r="AM229" s="2842" t="n"/>
      <c r="AN229" s="2842">
        <f>' SET Cost(staf+OS)'!M287/1000</f>
        <v/>
      </c>
      <c r="AO229" s="2842" t="n"/>
      <c r="AP229" s="2789" t="n"/>
      <c r="AQ229" s="2842" t="n"/>
      <c r="AR229" s="2842">
        <f>' SET Cost(staf+OS)'!N287/1000</f>
        <v/>
      </c>
      <c r="AS229" s="2842" t="n"/>
      <c r="AT229" s="2789" t="n"/>
      <c r="AU229" s="2842" t="n"/>
      <c r="AV229" s="2842">
        <f>' SET Cost(staf+OS)'!O287/1000</f>
        <v/>
      </c>
      <c r="AW229" s="2858" t="n"/>
      <c r="AX229" s="2789" t="n"/>
      <c r="AY229" s="2858" t="n"/>
      <c r="AZ229" s="2857">
        <f>SUM(C229:AW229)</f>
        <v/>
      </c>
      <c r="BA229" s="2858" t="n"/>
    </row>
    <row outlineLevel="2" r="230" s="1843" spans="1:55">
      <c r="A230" s="2860" t="s">
        <v>232</v>
      </c>
      <c r="B230" s="2789" t="n"/>
      <c r="C230" s="2857" t="n"/>
      <c r="D230" s="2869">
        <f>' SET Cost(staf+OS)'!D288/1000</f>
        <v/>
      </c>
      <c r="E230" s="2842" t="n"/>
      <c r="F230" s="2789" t="n"/>
      <c r="G230" s="2842" t="n"/>
      <c r="H230" s="2842">
        <f>' SET Cost(staf+OS)'!E288/1000</f>
        <v/>
      </c>
      <c r="I230" s="2842" t="n"/>
      <c r="J230" s="2789" t="n"/>
      <c r="K230" s="2842" t="n"/>
      <c r="L230" s="2842">
        <f>' SET Cost(staf+OS)'!F288/1000</f>
        <v/>
      </c>
      <c r="M230" s="2842" t="n"/>
      <c r="N230" s="2799" t="n"/>
      <c r="O230" s="2842" t="n"/>
      <c r="P230" s="2842">
        <f>' SET Cost(staf+OS)'!G288/1000</f>
        <v/>
      </c>
      <c r="Q230" s="2842" t="n"/>
      <c r="R230" s="2789" t="n"/>
      <c r="S230" s="2842" t="n"/>
      <c r="T230" s="2842">
        <f>' SET Cost(staf+OS)'!H288/1000</f>
        <v/>
      </c>
      <c r="U230" s="2842" t="n"/>
      <c r="V230" s="2799" t="n"/>
      <c r="W230" s="2842" t="n"/>
      <c r="X230" s="2842">
        <f>' SET Cost(staf+OS)'!I288/1000</f>
        <v/>
      </c>
      <c r="Y230" s="2842" t="n"/>
      <c r="Z230" s="2799" t="n"/>
      <c r="AA230" s="2842" t="n"/>
      <c r="AB230" s="2842">
        <f>' SET Cost(staf+OS)'!J288/1000</f>
        <v/>
      </c>
      <c r="AC230" s="2842" t="n"/>
      <c r="AD230" s="2799" t="n"/>
      <c r="AE230" s="2842" t="n"/>
      <c r="AF230" s="2842">
        <f>' SET Cost(staf+OS)'!K288/1000</f>
        <v/>
      </c>
      <c r="AG230" s="2842" t="n"/>
      <c r="AH230" s="2799" t="n"/>
      <c r="AI230" s="2842" t="n"/>
      <c r="AJ230" s="2842">
        <f>' SET Cost(staf+OS)'!L288/1000</f>
        <v/>
      </c>
      <c r="AK230" s="2842" t="n"/>
      <c r="AL230" s="2789" t="n"/>
      <c r="AM230" s="2842" t="n"/>
      <c r="AN230" s="2842">
        <f>' SET Cost(staf+OS)'!M288/1000</f>
        <v/>
      </c>
      <c r="AO230" s="2842" t="n"/>
      <c r="AP230" s="2789" t="n"/>
      <c r="AQ230" s="2842" t="n"/>
      <c r="AR230" s="2842">
        <f>' SET Cost(staf+OS)'!N288/1000</f>
        <v/>
      </c>
      <c r="AS230" s="2842" t="n"/>
      <c r="AT230" s="2789" t="n"/>
      <c r="AU230" s="2842" t="n"/>
      <c r="AV230" s="2842">
        <f>' SET Cost(staf+OS)'!O288/1000</f>
        <v/>
      </c>
      <c r="AW230" s="2858" t="n"/>
      <c r="AX230" s="2789" t="n"/>
      <c r="AY230" s="2858" t="n"/>
      <c r="AZ230" s="2857">
        <f>SUM(C230:AW230)</f>
        <v/>
      </c>
      <c r="BA230" s="2858" t="n"/>
    </row>
    <row outlineLevel="2" r="231" s="1843" spans="1:55">
      <c r="A231" s="2861" t="s">
        <v>233</v>
      </c>
      <c r="B231" s="2789" t="n"/>
      <c r="C231" s="2862" t="n"/>
      <c r="D231" s="2842">
        <f>' SET Cost(staf+OS)'!D289/1000</f>
        <v/>
      </c>
      <c r="E231" s="2842" t="n"/>
      <c r="F231" s="2789" t="n"/>
      <c r="G231" s="2842" t="n"/>
      <c r="H231" s="2842">
        <f>' SET Cost(staf+OS)'!E289/1000</f>
        <v/>
      </c>
      <c r="I231" s="2842" t="n"/>
      <c r="J231" s="2789" t="n"/>
      <c r="K231" s="2842" t="n"/>
      <c r="L231" s="2842">
        <f>' SET Cost(staf+OS)'!F289/1000</f>
        <v/>
      </c>
      <c r="M231" s="2842" t="n"/>
      <c r="N231" s="2799" t="n"/>
      <c r="O231" s="2842" t="n"/>
      <c r="P231" s="2842">
        <f>' SET Cost(staf+OS)'!G289/1000</f>
        <v/>
      </c>
      <c r="Q231" s="2842" t="n"/>
      <c r="R231" s="2789" t="n"/>
      <c r="S231" s="2842" t="n"/>
      <c r="T231" s="2842">
        <f>' SET Cost(staf+OS)'!H289/1000</f>
        <v/>
      </c>
      <c r="U231" s="2842" t="n"/>
      <c r="V231" s="2799" t="n"/>
      <c r="W231" s="2842" t="n"/>
      <c r="X231" s="2842">
        <f>' SET Cost(staf+OS)'!I289/1000</f>
        <v/>
      </c>
      <c r="Y231" s="2842" t="n"/>
      <c r="Z231" s="2799" t="n"/>
      <c r="AA231" s="2842" t="n"/>
      <c r="AB231" s="2842">
        <f>' SET Cost(staf+OS)'!J289/1000</f>
        <v/>
      </c>
      <c r="AC231" s="2842" t="n"/>
      <c r="AD231" s="2799" t="n"/>
      <c r="AE231" s="2842" t="n"/>
      <c r="AF231" s="2842">
        <f>' SET Cost(staf+OS)'!K289/1000</f>
        <v/>
      </c>
      <c r="AG231" s="2842" t="n"/>
      <c r="AH231" s="2799" t="n"/>
      <c r="AI231" s="2842" t="n"/>
      <c r="AJ231" s="2842">
        <f>' SET Cost(staf+OS)'!L289/1000</f>
        <v/>
      </c>
      <c r="AK231" s="2842" t="n"/>
      <c r="AL231" s="2789" t="n"/>
      <c r="AM231" s="2842" t="n"/>
      <c r="AN231" s="2842">
        <f>' SET Cost(staf+OS)'!M289/1000</f>
        <v/>
      </c>
      <c r="AO231" s="2842" t="n"/>
      <c r="AP231" s="2789" t="n"/>
      <c r="AQ231" s="2842" t="n"/>
      <c r="AR231" s="2842">
        <f>' SET Cost(staf+OS)'!N289/1000</f>
        <v/>
      </c>
      <c r="AS231" s="2842" t="n"/>
      <c r="AT231" s="2789" t="n"/>
      <c r="AU231" s="2842" t="n"/>
      <c r="AV231" s="2842">
        <f>' SET Cost(staf+OS)'!O289/1000</f>
        <v/>
      </c>
      <c r="AW231" s="2862" t="n"/>
      <c r="AX231" s="2789" t="n"/>
      <c r="AY231" s="2862" t="n"/>
      <c r="AZ231" s="2857">
        <f>SUM(C231:AW231)</f>
        <v/>
      </c>
      <c r="BA231" s="2862" t="n"/>
    </row>
    <row outlineLevel="2" r="232" s="1843" spans="1:55">
      <c r="A232" s="2860" t="s">
        <v>368</v>
      </c>
      <c r="B232" s="2789" t="n"/>
      <c r="C232" s="2857" t="n"/>
      <c r="D232" s="2842">
        <f>' SET Cost(staf+OS)'!D290/1000</f>
        <v/>
      </c>
      <c r="E232" s="2842" t="n"/>
      <c r="F232" s="2789" t="n"/>
      <c r="G232" s="2842" t="n"/>
      <c r="H232" s="2842">
        <f>' SET Cost(staf+OS)'!E290/1000</f>
        <v/>
      </c>
      <c r="I232" s="2842" t="n"/>
      <c r="J232" s="2789" t="n"/>
      <c r="K232" s="2842" t="n"/>
      <c r="L232" s="2842">
        <f>' SET Cost(staf+OS)'!F290/1000</f>
        <v/>
      </c>
      <c r="M232" s="2842" t="n"/>
      <c r="N232" s="2799" t="n"/>
      <c r="O232" s="2842" t="n"/>
      <c r="P232" s="2842">
        <f>' SET Cost(staf+OS)'!G290/1000</f>
        <v/>
      </c>
      <c r="Q232" s="2842" t="n"/>
      <c r="R232" s="2789" t="n"/>
      <c r="S232" s="2842" t="n"/>
      <c r="T232" s="2842">
        <f>' SET Cost(staf+OS)'!H290/1000</f>
        <v/>
      </c>
      <c r="U232" s="2842" t="n"/>
      <c r="V232" s="2799" t="n"/>
      <c r="W232" s="2842" t="n"/>
      <c r="X232" s="2842">
        <f>' SET Cost(staf+OS)'!I290/1000</f>
        <v/>
      </c>
      <c r="Y232" s="2842" t="n"/>
      <c r="Z232" s="2799" t="n"/>
      <c r="AA232" s="2842" t="n"/>
      <c r="AB232" s="2842">
        <f>' SET Cost(staf+OS)'!J290/1000</f>
        <v/>
      </c>
      <c r="AC232" s="2842" t="n"/>
      <c r="AD232" s="2799" t="n"/>
      <c r="AE232" s="2842" t="n"/>
      <c r="AF232" s="2842">
        <f>' SET Cost(staf+OS)'!K290/1000</f>
        <v/>
      </c>
      <c r="AG232" s="2842" t="n"/>
      <c r="AH232" s="2799" t="n"/>
      <c r="AI232" s="2842" t="n"/>
      <c r="AJ232" s="2842">
        <f>' SET Cost(staf+OS)'!L290/1000</f>
        <v/>
      </c>
      <c r="AK232" s="2842" t="n"/>
      <c r="AL232" s="2789" t="n"/>
      <c r="AM232" s="2842" t="n"/>
      <c r="AN232" s="2842">
        <f>' SET Cost(staf+OS)'!M290/1000</f>
        <v/>
      </c>
      <c r="AO232" s="2842" t="n"/>
      <c r="AP232" s="2789" t="n"/>
      <c r="AQ232" s="2842" t="n"/>
      <c r="AR232" s="2842">
        <f>' SET Cost(staf+OS)'!N290/1000</f>
        <v/>
      </c>
      <c r="AS232" s="2842" t="n"/>
      <c r="AT232" s="2789" t="n"/>
      <c r="AU232" s="2842" t="n"/>
      <c r="AV232" s="2842">
        <f>' SET Cost(staf+OS)'!O290/1000</f>
        <v/>
      </c>
      <c r="AW232" s="2857" t="n"/>
      <c r="AX232" s="2789" t="n"/>
      <c r="AY232" s="2857" t="n"/>
      <c r="AZ232" s="2857">
        <f>SUM(C232:AW232)</f>
        <v/>
      </c>
      <c r="BA232" s="2857" t="n"/>
    </row>
    <row outlineLevel="2" r="233" s="1843" spans="1:55">
      <c r="A233" s="2860" t="s">
        <v>369</v>
      </c>
      <c r="B233" s="2789" t="n"/>
      <c r="C233" s="2857" t="n"/>
      <c r="D233" s="2842">
        <f>' SET Cost(staf+OS)'!D291/1000</f>
        <v/>
      </c>
      <c r="E233" s="2842" t="n"/>
      <c r="F233" s="2789" t="n"/>
      <c r="G233" s="2842" t="n"/>
      <c r="H233" s="2842">
        <f>' SET Cost(staf+OS)'!E291/1000</f>
        <v/>
      </c>
      <c r="I233" s="2842" t="n"/>
      <c r="J233" s="2789" t="n"/>
      <c r="K233" s="2842" t="n"/>
      <c r="L233" s="2842">
        <f>' SET Cost(staf+OS)'!F291/1000</f>
        <v/>
      </c>
      <c r="M233" s="2842" t="n"/>
      <c r="N233" s="2799" t="n"/>
      <c r="O233" s="2842" t="n"/>
      <c r="P233" s="2842">
        <f>' SET Cost(staf+OS)'!G291/1000</f>
        <v/>
      </c>
      <c r="Q233" s="2842" t="n"/>
      <c r="R233" s="2789" t="n"/>
      <c r="S233" s="2842" t="n"/>
      <c r="T233" s="2842">
        <f>' SET Cost(staf+OS)'!H291/1000</f>
        <v/>
      </c>
      <c r="U233" s="2842" t="n"/>
      <c r="V233" s="2799" t="n"/>
      <c r="W233" s="2842" t="n"/>
      <c r="X233" s="2842">
        <f>' SET Cost(staf+OS)'!I291/1000</f>
        <v/>
      </c>
      <c r="Y233" s="2842" t="n"/>
      <c r="Z233" s="2799" t="n"/>
      <c r="AA233" s="2842" t="n"/>
      <c r="AB233" s="2842">
        <f>' SET Cost(staf+OS)'!J291/1000</f>
        <v/>
      </c>
      <c r="AC233" s="2842" t="n"/>
      <c r="AD233" s="2799" t="n"/>
      <c r="AE233" s="2842" t="n"/>
      <c r="AF233" s="2842">
        <f>' SET Cost(staf+OS)'!K291/1000</f>
        <v/>
      </c>
      <c r="AG233" s="2842" t="n"/>
      <c r="AH233" s="2799" t="n"/>
      <c r="AI233" s="2842" t="n"/>
      <c r="AJ233" s="2842">
        <f>' SET Cost(staf+OS)'!L291/1000</f>
        <v/>
      </c>
      <c r="AK233" s="2842" t="n"/>
      <c r="AL233" s="2789" t="n"/>
      <c r="AM233" s="2842" t="n"/>
      <c r="AN233" s="2842">
        <f>' SET Cost(staf+OS)'!M291/1000</f>
        <v/>
      </c>
      <c r="AO233" s="2842" t="n"/>
      <c r="AP233" s="2789" t="n"/>
      <c r="AQ233" s="2842" t="n"/>
      <c r="AR233" s="2842">
        <f>' SET Cost(staf+OS)'!N291/1000</f>
        <v/>
      </c>
      <c r="AS233" s="2842" t="n"/>
      <c r="AT233" s="2789" t="n"/>
      <c r="AU233" s="2842" t="n"/>
      <c r="AV233" s="2842">
        <f>' SET Cost(staf+OS)'!O291/1000</f>
        <v/>
      </c>
      <c r="AW233" s="2857" t="n"/>
      <c r="AX233" s="2789" t="n"/>
      <c r="AY233" s="2857" t="n"/>
      <c r="AZ233" s="2857">
        <f>SUM(C233:AW233)</f>
        <v/>
      </c>
      <c r="BA233" s="2857" t="n"/>
    </row>
    <row outlineLevel="2" r="234" s="1843" spans="1:55">
      <c r="A234" s="2859" t="s">
        <v>370</v>
      </c>
      <c r="B234" s="2789" t="n"/>
      <c r="C234" s="2858" t="n"/>
      <c r="D234" s="2842">
        <f>' SET Cost(staf+OS)'!D292/1000</f>
        <v/>
      </c>
      <c r="E234" s="2842" t="n"/>
      <c r="F234" s="2789" t="n"/>
      <c r="G234" s="2842" t="n"/>
      <c r="H234" s="2842">
        <f>' SET Cost(staf+OS)'!E292/1000</f>
        <v/>
      </c>
      <c r="I234" s="2842" t="n"/>
      <c r="J234" s="2789" t="n"/>
      <c r="K234" s="2842" t="n"/>
      <c r="L234" s="2842">
        <f>' SET Cost(staf+OS)'!F292/1000</f>
        <v/>
      </c>
      <c r="M234" s="2842" t="n"/>
      <c r="N234" s="2799" t="n"/>
      <c r="O234" s="2842" t="n"/>
      <c r="P234" s="2842">
        <f>' SET Cost(staf+OS)'!G292/1000</f>
        <v/>
      </c>
      <c r="Q234" s="2842" t="n"/>
      <c r="R234" s="2789" t="n"/>
      <c r="S234" s="2842" t="n"/>
      <c r="T234" s="2842">
        <f>' SET Cost(staf+OS)'!H292/1000</f>
        <v/>
      </c>
      <c r="U234" s="2842" t="n"/>
      <c r="V234" s="2799" t="n"/>
      <c r="W234" s="2842" t="n"/>
      <c r="X234" s="2842">
        <f>' SET Cost(staf+OS)'!I292/1000</f>
        <v/>
      </c>
      <c r="Y234" s="2842" t="n"/>
      <c r="Z234" s="2799" t="n"/>
      <c r="AA234" s="2842" t="n"/>
      <c r="AB234" s="2842">
        <f>' SET Cost(staf+OS)'!J292/1000</f>
        <v/>
      </c>
      <c r="AC234" s="2842" t="n"/>
      <c r="AD234" s="2799" t="n"/>
      <c r="AE234" s="2842" t="n"/>
      <c r="AF234" s="2842">
        <f>' SET Cost(staf+OS)'!K292/1000</f>
        <v/>
      </c>
      <c r="AG234" s="2842" t="n"/>
      <c r="AH234" s="2799" t="n"/>
      <c r="AI234" s="2842" t="n"/>
      <c r="AJ234" s="2842">
        <f>' SET Cost(staf+OS)'!L292/1000</f>
        <v/>
      </c>
      <c r="AK234" s="2842" t="n"/>
      <c r="AL234" s="2789" t="n"/>
      <c r="AM234" s="2842" t="n"/>
      <c r="AN234" s="2842">
        <f>' SET Cost(staf+OS)'!M292/1000</f>
        <v/>
      </c>
      <c r="AO234" s="2842" t="n"/>
      <c r="AP234" s="2789" t="n"/>
      <c r="AQ234" s="2842" t="n"/>
      <c r="AR234" s="2842">
        <f>' SET Cost(staf+OS)'!N292/1000</f>
        <v/>
      </c>
      <c r="AS234" s="2842" t="n"/>
      <c r="AT234" s="2789" t="n"/>
      <c r="AU234" s="2842" t="n"/>
      <c r="AV234" s="2842">
        <f>' SET Cost(staf+OS)'!O292/1000</f>
        <v/>
      </c>
      <c r="AW234" s="2858" t="n"/>
      <c r="AX234" s="2789" t="n"/>
      <c r="AY234" s="2858" t="n"/>
      <c r="AZ234" s="2857">
        <f>SUM(C234:AW234)</f>
        <v/>
      </c>
      <c r="BA234" s="2858" t="n"/>
    </row>
    <row outlineLevel="2" r="235" s="1843" spans="1:55">
      <c r="A235" s="2865" t="s">
        <v>371</v>
      </c>
      <c r="B235" s="2789" t="n"/>
      <c r="C235" s="2866" t="n"/>
      <c r="D235" s="2842">
        <f>' SET Cost(staf+OS)'!D293/1000</f>
        <v/>
      </c>
      <c r="E235" s="2842" t="n"/>
      <c r="F235" s="2789" t="n"/>
      <c r="G235" s="2842" t="n"/>
      <c r="H235" s="2842">
        <f>' SET Cost(staf+OS)'!E293/1000</f>
        <v/>
      </c>
      <c r="I235" s="2842" t="n"/>
      <c r="J235" s="2789" t="n"/>
      <c r="K235" s="2842" t="n"/>
      <c r="L235" s="2842">
        <f>' SET Cost(staf+OS)'!F293/1000</f>
        <v/>
      </c>
      <c r="M235" s="2842" t="n"/>
      <c r="N235" s="2799" t="n"/>
      <c r="O235" s="2842" t="n"/>
      <c r="P235" s="2842">
        <f>' SET Cost(staf+OS)'!G293/1000</f>
        <v/>
      </c>
      <c r="Q235" s="2842" t="n"/>
      <c r="R235" s="2789" t="n"/>
      <c r="S235" s="2842" t="n"/>
      <c r="T235" s="2842">
        <f>' SET Cost(staf+OS)'!H293/1000</f>
        <v/>
      </c>
      <c r="U235" s="2842" t="n"/>
      <c r="V235" s="2799" t="n"/>
      <c r="W235" s="2842" t="n"/>
      <c r="X235" s="2842">
        <f>' SET Cost(staf+OS)'!I293/1000</f>
        <v/>
      </c>
      <c r="Y235" s="2842" t="n"/>
      <c r="Z235" s="2799" t="n"/>
      <c r="AA235" s="2842" t="n"/>
      <c r="AB235" s="2842">
        <f>' SET Cost(staf+OS)'!J293/1000</f>
        <v/>
      </c>
      <c r="AC235" s="2842" t="n"/>
      <c r="AD235" s="2799" t="n"/>
      <c r="AE235" s="2842" t="n"/>
      <c r="AF235" s="2842">
        <f>' SET Cost(staf+OS)'!K293/1000</f>
        <v/>
      </c>
      <c r="AG235" s="2842" t="n"/>
      <c r="AH235" s="2799" t="n"/>
      <c r="AI235" s="2842" t="n"/>
      <c r="AJ235" s="2842">
        <f>' SET Cost(staf+OS)'!L293/1000</f>
        <v/>
      </c>
      <c r="AK235" s="2842" t="n"/>
      <c r="AL235" s="2789" t="n"/>
      <c r="AM235" s="2842" t="n"/>
      <c r="AN235" s="2842">
        <f>' SET Cost(staf+OS)'!M293/1000</f>
        <v/>
      </c>
      <c r="AO235" s="2842" t="n"/>
      <c r="AP235" s="2789" t="n"/>
      <c r="AQ235" s="2842" t="n"/>
      <c r="AR235" s="2842">
        <f>' SET Cost(staf+OS)'!N293/1000</f>
        <v/>
      </c>
      <c r="AS235" s="2842" t="n"/>
      <c r="AT235" s="2789" t="n"/>
      <c r="AU235" s="2842" t="n"/>
      <c r="AV235" s="2842">
        <f>' SET Cost(staf+OS)'!O293/1000</f>
        <v/>
      </c>
      <c r="AW235" s="2866" t="n"/>
      <c r="AX235" s="2789" t="n"/>
      <c r="AY235" s="2866" t="n"/>
      <c r="AZ235" s="2866">
        <f>SUM(C235:AW235)</f>
        <v/>
      </c>
      <c r="BA235" s="2866" t="n"/>
    </row>
    <row outlineLevel="2" r="236" s="1843" spans="1:55">
      <c r="A236" s="2845" t="s">
        <v>372</v>
      </c>
      <c r="B236" s="2845" t="n"/>
      <c r="C236" s="2841" t="n"/>
      <c r="D236" s="2842">
        <f>' SET Cost(staf+OS)'!D294/1000</f>
        <v/>
      </c>
      <c r="E236" s="2842" t="n"/>
      <c r="F236" s="2789" t="n"/>
      <c r="G236" s="2842" t="n"/>
      <c r="H236" s="2842">
        <f>' SET Cost(staf+OS)'!E294/1000</f>
        <v/>
      </c>
      <c r="I236" s="2842" t="n"/>
      <c r="J236" s="2789" t="n"/>
      <c r="K236" s="2842" t="n"/>
      <c r="L236" s="2842">
        <f>' SET Cost(staf+OS)'!F294/1000</f>
        <v/>
      </c>
      <c r="M236" s="2842" t="n"/>
      <c r="N236" s="2799" t="n"/>
      <c r="O236" s="2842" t="n"/>
      <c r="P236" s="2842">
        <f>' SET Cost(staf+OS)'!G294/1000</f>
        <v/>
      </c>
      <c r="Q236" s="2842" t="n"/>
      <c r="R236" s="2789" t="n"/>
      <c r="S236" s="2842" t="n"/>
      <c r="T236" s="2842">
        <f>' SET Cost(staf+OS)'!H294/1000</f>
        <v/>
      </c>
      <c r="U236" s="2842" t="n"/>
      <c r="V236" s="2799" t="n"/>
      <c r="W236" s="2842" t="n"/>
      <c r="X236" s="2842">
        <f>' SET Cost(staf+OS)'!I294/1000</f>
        <v/>
      </c>
      <c r="Y236" s="2842" t="n"/>
      <c r="Z236" s="2799" t="n"/>
      <c r="AA236" s="2842" t="n"/>
      <c r="AB236" s="2842">
        <f>' SET Cost(staf+OS)'!J294/1000</f>
        <v/>
      </c>
      <c r="AC236" s="2842" t="n"/>
      <c r="AD236" s="2799" t="n"/>
      <c r="AE236" s="2842" t="n"/>
      <c r="AF236" s="2842">
        <f>' SET Cost(staf+OS)'!K294/1000</f>
        <v/>
      </c>
      <c r="AG236" s="2842" t="n"/>
      <c r="AH236" s="2799" t="n"/>
      <c r="AI236" s="2842" t="n"/>
      <c r="AJ236" s="2842">
        <f>' SET Cost(staf+OS)'!L294/1000</f>
        <v/>
      </c>
      <c r="AK236" s="2842" t="n"/>
      <c r="AL236" s="2789" t="n"/>
      <c r="AM236" s="2842" t="n"/>
      <c r="AN236" s="2842">
        <f>' SET Cost(staf+OS)'!M294/1000</f>
        <v/>
      </c>
      <c r="AO236" s="2842" t="n"/>
      <c r="AP236" s="2789" t="n"/>
      <c r="AQ236" s="2842" t="n"/>
      <c r="AR236" s="2842">
        <f>' SET Cost(staf+OS)'!N294/1000</f>
        <v/>
      </c>
      <c r="AS236" s="2842" t="n"/>
      <c r="AT236" s="2789" t="n"/>
      <c r="AU236" s="2842" t="n"/>
      <c r="AV236" s="2842">
        <f>' SET Cost(staf+OS)'!O294/1000</f>
        <v/>
      </c>
      <c r="AW236" s="2841" t="n"/>
      <c r="AX236" s="2845" t="n"/>
      <c r="AY236" s="2841" t="n"/>
      <c r="AZ236" s="2841">
        <f>SUM(C236:AW236)</f>
        <v/>
      </c>
      <c r="BA236" s="2841" t="n"/>
    </row>
    <row outlineLevel="2" r="237" s="1843" spans="1:55">
      <c r="A237" s="2845" t="s">
        <v>89</v>
      </c>
      <c r="B237" s="2845" t="n"/>
      <c r="C237" s="2841">
        <f>'FY18 SET'!G27/1000</f>
        <v/>
      </c>
      <c r="D237" s="2841" t="n"/>
      <c r="E237" s="2841" t="n"/>
      <c r="F237" s="2845" t="n"/>
      <c r="G237" s="2841">
        <f>'FY18 SET'!H27/1000</f>
        <v/>
      </c>
      <c r="H237" s="2841" t="n"/>
      <c r="I237" s="2841" t="n"/>
      <c r="J237" s="2845" t="n"/>
      <c r="K237" s="2841">
        <f>'FY18 SET'!I27/1000</f>
        <v/>
      </c>
      <c r="L237" s="2841" t="n"/>
      <c r="M237" s="2841" t="n"/>
      <c r="N237" s="2867" t="n"/>
      <c r="O237" s="2841">
        <f>'FY18 SET'!J27/1000</f>
        <v/>
      </c>
      <c r="P237" s="2841" t="n"/>
      <c r="Q237" s="2841" t="n"/>
      <c r="R237" s="2845" t="n"/>
      <c r="S237" s="2841">
        <f>'FY18 SET'!K27/1000</f>
        <v/>
      </c>
      <c r="T237" s="2841" t="n"/>
      <c r="U237" s="2841" t="n"/>
      <c r="V237" s="2867" t="n"/>
      <c r="W237" s="2841">
        <f>'FY18 SET'!L27/1000</f>
        <v/>
      </c>
      <c r="X237" s="2841" t="n"/>
      <c r="Y237" s="2841" t="n"/>
      <c r="Z237" s="2867" t="n"/>
      <c r="AA237" s="2841">
        <f>'FY18 SET'!N27/1000</f>
        <v/>
      </c>
      <c r="AB237" s="2841" t="n"/>
      <c r="AC237" s="2841" t="n"/>
      <c r="AD237" s="2867" t="n"/>
      <c r="AE237" s="2841">
        <f>'FY18 SET'!O27/1000</f>
        <v/>
      </c>
      <c r="AF237" s="2841" t="n"/>
      <c r="AG237" s="2841" t="n"/>
      <c r="AH237" s="2841" t="n"/>
      <c r="AI237" s="2841">
        <f>'FY18 SET'!P27/1000</f>
        <v/>
      </c>
      <c r="AJ237" s="2841" t="n"/>
      <c r="AK237" s="2841" t="n"/>
      <c r="AL237" s="2845" t="n"/>
      <c r="AM237" s="2841">
        <f>'FY18 SET'!Q27/1000</f>
        <v/>
      </c>
      <c r="AN237" s="2841" t="n"/>
      <c r="AO237" s="2841" t="n"/>
      <c r="AP237" s="2845" t="n"/>
      <c r="AQ237" s="2841">
        <f>'FY18 SET'!R27/1000</f>
        <v/>
      </c>
      <c r="AR237" s="2841" t="n"/>
      <c r="AS237" s="2841" t="n"/>
      <c r="AT237" s="2845" t="n"/>
      <c r="AU237" s="2841">
        <f>'FY18 SET'!S27/1000</f>
        <v/>
      </c>
      <c r="AV237" s="2841" t="n"/>
      <c r="AW237" s="2841" t="n"/>
      <c r="AX237" s="2845" t="n"/>
      <c r="AY237" s="2841">
        <f>SUM(B237:AV237)</f>
        <v/>
      </c>
      <c r="AZ237" s="2841" t="n"/>
      <c r="BA237" s="2841" t="n"/>
    </row>
    <row outlineLevel="2" r="238" s="1843" spans="1:55">
      <c r="A238" s="2845" t="s">
        <v>153</v>
      </c>
      <c r="B238" s="2845" t="n"/>
      <c r="C238" s="2841" t="n"/>
      <c r="D238" s="2841" t="n"/>
      <c r="E238" s="2841">
        <f>SUM(C220:C238)-SUM(D220:D238)</f>
        <v/>
      </c>
      <c r="F238" s="2845" t="n"/>
      <c r="G238" s="2841" t="n"/>
      <c r="H238" s="2841" t="n"/>
      <c r="I238" s="2841">
        <f>SUM(G220:G238)-SUM(H220:H238)</f>
        <v/>
      </c>
      <c r="J238" s="2845" t="n"/>
      <c r="K238" s="2841" t="n"/>
      <c r="L238" s="2841" t="n"/>
      <c r="M238" s="2841">
        <f>SUM(K220:K238)-SUM(L220:L238)</f>
        <v/>
      </c>
      <c r="N238" s="2867" t="n"/>
      <c r="O238" s="2841" t="n"/>
      <c r="P238" s="2841" t="n"/>
      <c r="Q238" s="2841">
        <f>SUM(O220:O238)-SUM(P220:P238)</f>
        <v/>
      </c>
      <c r="R238" s="2845" t="n"/>
      <c r="S238" s="2841" t="n"/>
      <c r="T238" s="2841" t="n"/>
      <c r="U238" s="2841">
        <f>SUM(S220:S238)-SUM(T220:T238)</f>
        <v/>
      </c>
      <c r="V238" s="2867" t="n"/>
      <c r="W238" s="2841" t="n"/>
      <c r="X238" s="2841" t="n"/>
      <c r="Y238" s="2841">
        <f>SUM(W220:W238)-SUM(X220:X238)</f>
        <v/>
      </c>
      <c r="Z238" s="2867" t="n"/>
      <c r="AA238" s="2841" t="n"/>
      <c r="AB238" s="2841" t="n"/>
      <c r="AC238" s="2841">
        <f>SUM(AA220:AA238)-SUM(AB220:AB238)</f>
        <v/>
      </c>
      <c r="AD238" s="2867" t="n"/>
      <c r="AE238" s="2841" t="n"/>
      <c r="AF238" s="2841" t="n"/>
      <c r="AG238" s="2841">
        <f>SUM(AE220:AE238)-SUM(AF220:AF238)</f>
        <v/>
      </c>
      <c r="AH238" s="2867" t="n"/>
      <c r="AI238" s="2841" t="n"/>
      <c r="AJ238" s="2841" t="n"/>
      <c r="AK238" s="2841">
        <f>SUM(AI220:AI238)-SUM(AJ220:AJ238)</f>
        <v/>
      </c>
      <c r="AL238" s="2845" t="n"/>
      <c r="AM238" s="2841" t="n"/>
      <c r="AN238" s="2841" t="n"/>
      <c r="AO238" s="2841">
        <f>SUM(AM220:AM238)-SUM(AN220:AN238)</f>
        <v/>
      </c>
      <c r="AP238" s="2845" t="n"/>
      <c r="AQ238" s="2841" t="n"/>
      <c r="AR238" s="2841" t="n"/>
      <c r="AS238" s="2841">
        <f>SUM(AQ220:AQ238)-SUM(AR220:AR238)</f>
        <v/>
      </c>
      <c r="AT238" s="2845" t="n"/>
      <c r="AU238" s="2841" t="n"/>
      <c r="AV238" s="2841" t="n"/>
      <c r="AW238" s="2841">
        <f>SUM(AU220:AU238)-SUM(AV220:AV238)</f>
        <v/>
      </c>
      <c r="AX238" s="2845" t="n"/>
      <c r="AY238" s="2841" t="n"/>
      <c r="AZ238" s="2841" t="n"/>
      <c r="BA238" s="2841">
        <f>SUM(D238:AY238)</f>
        <v/>
      </c>
    </row>
    <row customFormat="1" outlineLevel="2" r="239" s="2802" spans="1:55">
      <c r="A239" s="2847" t="s">
        <v>173</v>
      </c>
      <c r="B239" s="2847" t="n"/>
      <c r="C239" s="2848">
        <f>SUM(C220:C238)</f>
        <v/>
      </c>
      <c r="D239" s="2848">
        <f>SUM(D220:D238)</f>
        <v/>
      </c>
      <c r="E239" s="2848">
        <f>SUM(E238:E238)</f>
        <v/>
      </c>
      <c r="F239" s="2847" t="n"/>
      <c r="G239" s="2848">
        <f>SUM(G220:G238)</f>
        <v/>
      </c>
      <c r="H239" s="2848">
        <f>SUM(H220:H238)</f>
        <v/>
      </c>
      <c r="I239" s="2848">
        <f>SUM(I238:I238)</f>
        <v/>
      </c>
      <c r="J239" s="2847" t="n"/>
      <c r="K239" s="2848">
        <f>SUM(K220:K238)</f>
        <v/>
      </c>
      <c r="L239" s="2848">
        <f>SUM(L220:L238)</f>
        <v/>
      </c>
      <c r="M239" s="2848">
        <f>SUM(M238:M238)</f>
        <v/>
      </c>
      <c r="N239" s="2868" t="n"/>
      <c r="O239" s="2848">
        <f>SUM(O220:O238)</f>
        <v/>
      </c>
      <c r="P239" s="2848">
        <f>SUM(P220:P238)</f>
        <v/>
      </c>
      <c r="Q239" s="2848">
        <f>SUM(Q238:Q238)</f>
        <v/>
      </c>
      <c r="R239" s="2847" t="n"/>
      <c r="S239" s="2848">
        <f>SUM(S220:S238)</f>
        <v/>
      </c>
      <c r="T239" s="2848">
        <f>SUM(T220:T238)</f>
        <v/>
      </c>
      <c r="U239" s="2848">
        <f>SUM(U238:U238)</f>
        <v/>
      </c>
      <c r="V239" s="2868" t="n"/>
      <c r="W239" s="2848">
        <f>SUM(W220:W238)</f>
        <v/>
      </c>
      <c r="X239" s="2848">
        <f>SUM(X220:X238)</f>
        <v/>
      </c>
      <c r="Y239" s="2848">
        <f>SUM(Y238:Y238)</f>
        <v/>
      </c>
      <c r="Z239" s="2868" t="n"/>
      <c r="AA239" s="2848">
        <f>SUM(AA220:AA238)</f>
        <v/>
      </c>
      <c r="AB239" s="2848">
        <f>SUM(AB220:AB238)</f>
        <v/>
      </c>
      <c r="AC239" s="2848">
        <f>SUM(AC238:AC238)</f>
        <v/>
      </c>
      <c r="AD239" s="2868" t="n"/>
      <c r="AE239" s="2848">
        <f>SUM(AE220:AE238)</f>
        <v/>
      </c>
      <c r="AF239" s="2848">
        <f>SUM(AF220:AF238)</f>
        <v/>
      </c>
      <c r="AG239" s="2848">
        <f>SUM(AG238:AG238)</f>
        <v/>
      </c>
      <c r="AH239" s="2868" t="n"/>
      <c r="AI239" s="2848">
        <f>SUM(AI220:AI238)</f>
        <v/>
      </c>
      <c r="AJ239" s="2848">
        <f>SUM(AJ220:AJ238)</f>
        <v/>
      </c>
      <c r="AK239" s="2848">
        <f>SUM(AK238:AK238)</f>
        <v/>
      </c>
      <c r="AL239" s="2847" t="n"/>
      <c r="AM239" s="2848">
        <f>SUM(AM220:AM238)</f>
        <v/>
      </c>
      <c r="AN239" s="2848">
        <f>SUM(AN220:AN238)</f>
        <v/>
      </c>
      <c r="AO239" s="2848">
        <f>SUM(AO238:AO238)</f>
        <v/>
      </c>
      <c r="AP239" s="2847" t="n"/>
      <c r="AQ239" s="2848">
        <f>SUM(AQ220:AQ238)</f>
        <v/>
      </c>
      <c r="AR239" s="2848">
        <f>SUM(AR220:AR238)</f>
        <v/>
      </c>
      <c r="AS239" s="2848">
        <f>SUM(AS238:AS238)</f>
        <v/>
      </c>
      <c r="AT239" s="2847" t="n"/>
      <c r="AU239" s="2848">
        <f>SUM(AU220:AU238)</f>
        <v/>
      </c>
      <c r="AV239" s="2848">
        <f>SUM(AV220:AV238)</f>
        <v/>
      </c>
      <c r="AW239" s="2848">
        <f>SUM(AW238:AW238)</f>
        <v/>
      </c>
      <c r="AX239" s="2847" t="n"/>
      <c r="AY239" s="2847">
        <f>SUM(AY220:AY238)</f>
        <v/>
      </c>
      <c r="AZ239" s="2847">
        <f>SUM(AZ220:AZ238)</f>
        <v/>
      </c>
      <c r="BA239" s="2847">
        <f>SUM(BA238:BA238)</f>
        <v/>
      </c>
    </row>
    <row customFormat="1" outlineLevel="2" r="240" s="2808" spans="1:55">
      <c r="A240" s="2847" t="s">
        <v>385</v>
      </c>
      <c r="B240" s="2847" t="n"/>
      <c r="C240" s="2848" t="n"/>
      <c r="D240" s="2848" t="n"/>
      <c r="E240" s="2849">
        <f>E239/C239</f>
        <v/>
      </c>
      <c r="F240" s="2847" t="n"/>
      <c r="G240" s="2848" t="n"/>
      <c r="H240" s="2848" t="n"/>
      <c r="I240" s="2849">
        <f>I239/G239</f>
        <v/>
      </c>
      <c r="J240" s="2847" t="n"/>
      <c r="K240" s="2848" t="n"/>
      <c r="L240" s="2848" t="n"/>
      <c r="M240" s="2849">
        <f>M239/K239</f>
        <v/>
      </c>
      <c r="N240" s="2848" t="n"/>
      <c r="O240" s="2848" t="n"/>
      <c r="P240" s="2848" t="n"/>
      <c r="Q240" s="2849">
        <f>Q239/O239</f>
        <v/>
      </c>
      <c r="R240" s="2847" t="n"/>
      <c r="S240" s="2848" t="n"/>
      <c r="T240" s="2848" t="n"/>
      <c r="U240" s="2849">
        <f>U239/S239</f>
        <v/>
      </c>
      <c r="V240" s="2848" t="n"/>
      <c r="W240" s="2848" t="n"/>
      <c r="X240" s="2848" t="n"/>
      <c r="Y240" s="2849">
        <f>Y239/W239</f>
        <v/>
      </c>
      <c r="Z240" s="2848" t="n"/>
      <c r="AA240" s="2848" t="n"/>
      <c r="AB240" s="2848" t="n"/>
      <c r="AC240" s="2849">
        <f>AC239/AA239</f>
        <v/>
      </c>
      <c r="AD240" s="2848" t="n"/>
      <c r="AE240" s="2848" t="n"/>
      <c r="AF240" s="2848" t="n"/>
      <c r="AG240" s="2849">
        <f>AG239/AE239</f>
        <v/>
      </c>
      <c r="AH240" s="2848" t="n"/>
      <c r="AI240" s="2848" t="n"/>
      <c r="AJ240" s="2848" t="n"/>
      <c r="AK240" s="2849">
        <f>AK239/AI239</f>
        <v/>
      </c>
      <c r="AL240" s="2847" t="n"/>
      <c r="AM240" s="2848" t="n"/>
      <c r="AN240" s="2848" t="n"/>
      <c r="AO240" s="2849">
        <f>AO239/AM239</f>
        <v/>
      </c>
      <c r="AP240" s="2847" t="n"/>
      <c r="AQ240" s="2848" t="n"/>
      <c r="AR240" s="2848" t="n"/>
      <c r="AS240" s="2849">
        <f>AS239/AQ239</f>
        <v/>
      </c>
      <c r="AT240" s="2847" t="n"/>
      <c r="AU240" s="2848" t="n"/>
      <c r="AV240" s="2848" t="n"/>
      <c r="AW240" s="2849">
        <f>AW239/AU239</f>
        <v/>
      </c>
      <c r="AX240" s="2847" t="n"/>
      <c r="AY240" s="2847" t="n"/>
      <c r="AZ240" s="2847" t="n"/>
      <c r="BA240" s="2849">
        <f>BA239/AY239</f>
        <v/>
      </c>
    </row>
    <row customFormat="1" outlineLevel="2" r="241" s="2808" spans="1:55">
      <c r="A241" s="2806" t="n"/>
      <c r="B241" s="2806" t="n"/>
      <c r="E241" s="2836" t="n"/>
      <c r="F241" s="2806" t="n"/>
      <c r="I241" s="2836" t="n"/>
      <c r="J241" s="2806" t="n"/>
      <c r="M241" s="2836" t="n"/>
      <c r="Q241" s="2836" t="n"/>
      <c r="R241" s="2806" t="n"/>
      <c r="U241" s="2836" t="n"/>
      <c r="Y241" s="2836" t="n"/>
      <c r="AC241" s="2836" t="n"/>
      <c r="AG241" s="2836" t="n"/>
      <c r="AK241" s="2836" t="n"/>
      <c r="AL241" s="2806" t="n"/>
      <c r="AO241" s="2836" t="n"/>
      <c r="AP241" s="2806" t="n"/>
      <c r="AS241" s="2836" t="n"/>
      <c r="AT241" s="2806" t="n"/>
      <c r="AW241" s="2836" t="n"/>
      <c r="AX241" s="2806" t="n"/>
      <c r="AY241" s="2806" t="n"/>
      <c r="AZ241" s="2806" t="n"/>
      <c r="BA241" s="2836" t="n"/>
    </row>
    <row outlineLevel="2" r="242" s="1843" spans="1:55">
      <c r="A242" s="2854" t="s">
        <v>112</v>
      </c>
      <c r="B242" s="2781" t="n"/>
      <c r="C242" s="2855" t="s">
        <v>62</v>
      </c>
      <c r="F242" s="2781" t="n"/>
      <c r="G242" s="2855" t="s">
        <v>63</v>
      </c>
      <c r="J242" s="2781" t="n"/>
      <c r="K242" s="2855" t="s">
        <v>64</v>
      </c>
      <c r="N242" s="2799" t="n"/>
      <c r="O242" s="2855" t="s">
        <v>174</v>
      </c>
      <c r="R242" s="2781" t="n"/>
      <c r="S242" s="2855" t="s">
        <v>66</v>
      </c>
      <c r="V242" s="2799" t="n"/>
      <c r="W242" s="2855" t="s">
        <v>67</v>
      </c>
      <c r="Z242" s="2799" t="n"/>
      <c r="AA242" s="2855" t="s">
        <v>69</v>
      </c>
      <c r="AD242" s="2799" t="n"/>
      <c r="AE242" s="2855" t="s">
        <v>70</v>
      </c>
      <c r="AH242" s="2799" t="n"/>
      <c r="AI242" s="2855" t="s">
        <v>71</v>
      </c>
      <c r="AL242" s="2781" t="n"/>
      <c r="AM242" s="2855" t="s">
        <v>72</v>
      </c>
      <c r="AP242" s="2781" t="n"/>
      <c r="AQ242" s="2855" t="s">
        <v>73</v>
      </c>
      <c r="AT242" s="2781" t="n"/>
      <c r="AU242" s="2855" t="s">
        <v>74</v>
      </c>
      <c r="AX242" s="2781" t="n"/>
      <c r="AY242" s="2855" t="s">
        <v>173</v>
      </c>
    </row>
    <row outlineLevel="2" r="243" s="1843" spans="1:55">
      <c r="A243" s="2856" t="n"/>
      <c r="B243" s="2785" t="n"/>
      <c r="C243" s="2856" t="s">
        <v>89</v>
      </c>
      <c r="D243" s="2856" t="s">
        <v>152</v>
      </c>
      <c r="E243" s="2856" t="s">
        <v>153</v>
      </c>
      <c r="F243" s="2785" t="n"/>
      <c r="G243" s="2856" t="s">
        <v>89</v>
      </c>
      <c r="H243" s="2856" t="s">
        <v>152</v>
      </c>
      <c r="I243" s="2856" t="s">
        <v>153</v>
      </c>
      <c r="J243" s="2785" t="n"/>
      <c r="K243" s="2856" t="s">
        <v>89</v>
      </c>
      <c r="L243" s="2856" t="s">
        <v>152</v>
      </c>
      <c r="M243" s="2856" t="s">
        <v>153</v>
      </c>
      <c r="N243" s="2799" t="n"/>
      <c r="O243" s="2856" t="s">
        <v>89</v>
      </c>
      <c r="P243" s="2856" t="s">
        <v>152</v>
      </c>
      <c r="Q243" s="2856" t="s">
        <v>153</v>
      </c>
      <c r="R243" s="2785" t="n"/>
      <c r="S243" s="2856" t="s">
        <v>89</v>
      </c>
      <c r="T243" s="2856" t="s">
        <v>152</v>
      </c>
      <c r="U243" s="2856" t="s">
        <v>153</v>
      </c>
      <c r="V243" s="2799" t="n"/>
      <c r="W243" s="2856" t="s">
        <v>89</v>
      </c>
      <c r="X243" s="2856" t="s">
        <v>152</v>
      </c>
      <c r="Y243" s="2856" t="s">
        <v>153</v>
      </c>
      <c r="Z243" s="2799" t="n"/>
      <c r="AA243" s="2856" t="s">
        <v>89</v>
      </c>
      <c r="AB243" s="2856" t="s">
        <v>152</v>
      </c>
      <c r="AC243" s="2856" t="s">
        <v>153</v>
      </c>
      <c r="AD243" s="2799" t="n"/>
      <c r="AE243" s="2856" t="s">
        <v>89</v>
      </c>
      <c r="AF243" s="2856" t="s">
        <v>152</v>
      </c>
      <c r="AG243" s="2856" t="s">
        <v>153</v>
      </c>
      <c r="AH243" s="2799" t="n"/>
      <c r="AI243" s="2856" t="s">
        <v>89</v>
      </c>
      <c r="AJ243" s="2856" t="s">
        <v>152</v>
      </c>
      <c r="AK243" s="2856" t="s">
        <v>153</v>
      </c>
      <c r="AL243" s="2785" t="n"/>
      <c r="AM243" s="2856" t="s">
        <v>89</v>
      </c>
      <c r="AN243" s="2856" t="s">
        <v>152</v>
      </c>
      <c r="AO243" s="2856" t="s">
        <v>153</v>
      </c>
      <c r="AP243" s="2785" t="n"/>
      <c r="AQ243" s="2856" t="s">
        <v>89</v>
      </c>
      <c r="AR243" s="2856" t="s">
        <v>152</v>
      </c>
      <c r="AS243" s="2856" t="s">
        <v>153</v>
      </c>
      <c r="AT243" s="2785" t="n"/>
      <c r="AU243" s="2856" t="s">
        <v>89</v>
      </c>
      <c r="AV243" s="2856" t="s">
        <v>152</v>
      </c>
      <c r="AW243" s="2856" t="s">
        <v>153</v>
      </c>
      <c r="AX243" s="2785" t="n"/>
      <c r="AY243" s="2856" t="s">
        <v>89</v>
      </c>
      <c r="AZ243" s="2856" t="s">
        <v>152</v>
      </c>
      <c r="BA243" s="2856" t="s">
        <v>153</v>
      </c>
    </row>
    <row outlineLevel="2" r="244" s="1843" spans="1:55">
      <c r="A244" s="2857" t="s">
        <v>187</v>
      </c>
      <c r="B244" s="2789" t="n"/>
      <c r="C244" s="2857" t="n"/>
      <c r="D244" s="2842">
        <f>' SET Cost(staf+OS)'!D312/1000</f>
        <v/>
      </c>
      <c r="E244" s="2842" t="n"/>
      <c r="F244" s="2789" t="n"/>
      <c r="G244" s="2842" t="n"/>
      <c r="H244" s="2842">
        <f>' SET Cost(staf+OS)'!E312/1000</f>
        <v/>
      </c>
      <c r="I244" s="2842" t="n"/>
      <c r="J244" s="2789" t="n"/>
      <c r="K244" s="2842" t="n"/>
      <c r="L244" s="2842">
        <f>' SET Cost(staf+OS)'!F312/1000</f>
        <v/>
      </c>
      <c r="M244" s="2842" t="n"/>
      <c r="N244" s="2799" t="n"/>
      <c r="O244" s="2842" t="n"/>
      <c r="P244" s="2842">
        <f>' SET Cost(staf+OS)'!G312/1000</f>
        <v/>
      </c>
      <c r="Q244" s="2842" t="n"/>
      <c r="R244" s="2789" t="n"/>
      <c r="S244" s="2842" t="n"/>
      <c r="T244" s="2842">
        <f>' SET Cost(staf+OS)'!H312/1000</f>
        <v/>
      </c>
      <c r="U244" s="2842" t="n"/>
      <c r="V244" s="2799" t="n"/>
      <c r="W244" s="2842" t="n"/>
      <c r="X244" s="2842">
        <f>' SET Cost(staf+OS)'!I312/1000</f>
        <v/>
      </c>
      <c r="Y244" s="2842" t="n"/>
      <c r="Z244" s="2799" t="n"/>
      <c r="AA244" s="2842" t="n"/>
      <c r="AB244" s="2842">
        <f>' SET Cost(staf+OS)'!J312/1000</f>
        <v/>
      </c>
      <c r="AC244" s="2842" t="n"/>
      <c r="AD244" s="2799" t="n"/>
      <c r="AE244" s="2842" t="n"/>
      <c r="AF244" s="2842">
        <f>' SET Cost(staf+OS)'!K312/1000</f>
        <v/>
      </c>
      <c r="AG244" s="2842" t="n"/>
      <c r="AH244" s="2799" t="n"/>
      <c r="AI244" s="2842" t="n"/>
      <c r="AJ244" s="2842">
        <f>' SET Cost(staf+OS)'!L312/1000</f>
        <v/>
      </c>
      <c r="AK244" s="2842" t="n"/>
      <c r="AL244" s="2789" t="n"/>
      <c r="AM244" s="2842" t="n"/>
      <c r="AN244" s="2842">
        <f>' SET Cost(staf+OS)'!M312/1000</f>
        <v/>
      </c>
      <c r="AO244" s="2842" t="n"/>
      <c r="AP244" s="2789" t="n"/>
      <c r="AQ244" s="2842" t="n"/>
      <c r="AR244" s="2842">
        <f>' SET Cost(staf+OS)'!N312/1000</f>
        <v/>
      </c>
      <c r="AS244" s="2842" t="n"/>
      <c r="AT244" s="2789" t="n"/>
      <c r="AU244" s="2842" t="n"/>
      <c r="AV244" s="2842">
        <f>' SET Cost(staf+OS)'!O312/1000</f>
        <v/>
      </c>
      <c r="AW244" s="2857" t="n"/>
      <c r="AX244" s="2789" t="n"/>
      <c r="AY244" s="2857" t="n"/>
      <c r="AZ244" s="2857">
        <f>SUM(C244:AW244)</f>
        <v/>
      </c>
      <c r="BA244" s="2857" t="n"/>
    </row>
    <row outlineLevel="2" r="245" s="1843" spans="1:55">
      <c r="A245" s="2857" t="s">
        <v>189</v>
      </c>
      <c r="B245" s="2789" t="n"/>
      <c r="C245" s="2858" t="n"/>
      <c r="D245" s="2842">
        <f>' SET Cost(staf+OS)'!D313/1000</f>
        <v/>
      </c>
      <c r="E245" s="2842" t="n"/>
      <c r="F245" s="2789" t="n"/>
      <c r="G245" s="2842" t="n"/>
      <c r="H245" s="2842">
        <f>' SET Cost(staf+OS)'!E313/1000</f>
        <v/>
      </c>
      <c r="I245" s="2842" t="n"/>
      <c r="J245" s="2789" t="n"/>
      <c r="K245" s="2842" t="n"/>
      <c r="L245" s="2842">
        <f>' SET Cost(staf+OS)'!F313/1000</f>
        <v/>
      </c>
      <c r="M245" s="2842" t="n"/>
      <c r="N245" s="2799" t="n"/>
      <c r="O245" s="2842" t="n"/>
      <c r="P245" s="2842">
        <f>' SET Cost(staf+OS)'!G313/1000</f>
        <v/>
      </c>
      <c r="Q245" s="2842" t="n"/>
      <c r="R245" s="2789" t="n"/>
      <c r="S245" s="2842" t="n"/>
      <c r="T245" s="2842">
        <f>' SET Cost(staf+OS)'!H313/1000</f>
        <v/>
      </c>
      <c r="U245" s="2842" t="n"/>
      <c r="V245" s="2799" t="n"/>
      <c r="W245" s="2842" t="n"/>
      <c r="X245" s="2842">
        <f>' SET Cost(staf+OS)'!I313/1000</f>
        <v/>
      </c>
      <c r="Y245" s="2842" t="n"/>
      <c r="Z245" s="2799" t="n"/>
      <c r="AA245" s="2842" t="n"/>
      <c r="AB245" s="2842">
        <f>' SET Cost(staf+OS)'!J313/1000</f>
        <v/>
      </c>
      <c r="AC245" s="2842" t="n"/>
      <c r="AD245" s="2799" t="n"/>
      <c r="AE245" s="2842" t="n"/>
      <c r="AF245" s="2842">
        <f>' SET Cost(staf+OS)'!K313/1000</f>
        <v/>
      </c>
      <c r="AG245" s="2842" t="n"/>
      <c r="AH245" s="2799" t="n"/>
      <c r="AI245" s="2842" t="n"/>
      <c r="AJ245" s="2842">
        <f>' SET Cost(staf+OS)'!L313/1000</f>
        <v/>
      </c>
      <c r="AK245" s="2842" t="n"/>
      <c r="AL245" s="2789" t="n"/>
      <c r="AM245" s="2842" t="n"/>
      <c r="AN245" s="2842">
        <f>' SET Cost(staf+OS)'!M313/1000</f>
        <v/>
      </c>
      <c r="AO245" s="2842" t="n"/>
      <c r="AP245" s="2789" t="n"/>
      <c r="AQ245" s="2842" t="n"/>
      <c r="AR245" s="2842">
        <f>' SET Cost(staf+OS)'!N313/1000</f>
        <v/>
      </c>
      <c r="AS245" s="2842" t="n"/>
      <c r="AT245" s="2789" t="n"/>
      <c r="AU245" s="2842" t="n"/>
      <c r="AV245" s="2842">
        <f>' SET Cost(staf+OS)'!O313/1000</f>
        <v/>
      </c>
      <c r="AW245" s="2858" t="n"/>
      <c r="AX245" s="2789" t="n"/>
      <c r="AY245" s="2858" t="n"/>
      <c r="AZ245" s="2857">
        <f>SUM(C245:AW245)</f>
        <v/>
      </c>
      <c r="BA245" s="2858" t="n"/>
    </row>
    <row outlineLevel="2" r="246" s="1843" spans="1:55">
      <c r="A246" s="2857" t="s">
        <v>252</v>
      </c>
      <c r="B246" s="2789" t="n"/>
      <c r="C246" s="2858" t="n"/>
      <c r="D246" s="2842">
        <f>' SET Cost(staf+OS)'!D314/1000</f>
        <v/>
      </c>
      <c r="E246" s="2842" t="n"/>
      <c r="F246" s="2789" t="n"/>
      <c r="G246" s="2842" t="n"/>
      <c r="H246" s="2842">
        <f>' SET Cost(staf+OS)'!E314/1000</f>
        <v/>
      </c>
      <c r="I246" s="2842" t="n"/>
      <c r="J246" s="2789" t="n"/>
      <c r="K246" s="2842" t="n"/>
      <c r="L246" s="2842">
        <f>' SET Cost(staf+OS)'!F314/1000</f>
        <v/>
      </c>
      <c r="M246" s="2842" t="n"/>
      <c r="N246" s="2799" t="n"/>
      <c r="O246" s="2842" t="n"/>
      <c r="P246" s="2842">
        <f>' SET Cost(staf+OS)'!G314/1000</f>
        <v/>
      </c>
      <c r="Q246" s="2842" t="n"/>
      <c r="R246" s="2789" t="n"/>
      <c r="S246" s="2842" t="n"/>
      <c r="T246" s="2842">
        <f>' SET Cost(staf+OS)'!H314/1000</f>
        <v/>
      </c>
      <c r="U246" s="2842" t="n"/>
      <c r="V246" s="2799" t="n"/>
      <c r="W246" s="2842" t="n"/>
      <c r="X246" s="2842">
        <f>' SET Cost(staf+OS)'!I314/1000</f>
        <v/>
      </c>
      <c r="Y246" s="2842" t="n"/>
      <c r="Z246" s="2799" t="n"/>
      <c r="AA246" s="2842" t="n"/>
      <c r="AB246" s="2842">
        <f>' SET Cost(staf+OS)'!J314/1000</f>
        <v/>
      </c>
      <c r="AC246" s="2842" t="n"/>
      <c r="AD246" s="2799" t="n"/>
      <c r="AE246" s="2842" t="n"/>
      <c r="AF246" s="2842">
        <f>' SET Cost(staf+OS)'!K314/1000</f>
        <v/>
      </c>
      <c r="AG246" s="2842" t="n"/>
      <c r="AH246" s="2799" t="n"/>
      <c r="AI246" s="2842" t="n"/>
      <c r="AJ246" s="2842">
        <f>' SET Cost(staf+OS)'!L314/1000</f>
        <v/>
      </c>
      <c r="AK246" s="2842" t="n"/>
      <c r="AL246" s="2789" t="n"/>
      <c r="AM246" s="2842" t="n"/>
      <c r="AN246" s="2842">
        <f>' SET Cost(staf+OS)'!M314/1000</f>
        <v/>
      </c>
      <c r="AO246" s="2842" t="n"/>
      <c r="AP246" s="2789" t="n"/>
      <c r="AQ246" s="2842" t="n"/>
      <c r="AR246" s="2842">
        <f>' SET Cost(staf+OS)'!N314/1000</f>
        <v/>
      </c>
      <c r="AS246" s="2842" t="n"/>
      <c r="AT246" s="2789" t="n"/>
      <c r="AU246" s="2842" t="n"/>
      <c r="AV246" s="2842">
        <f>' SET Cost(staf+OS)'!O314/1000</f>
        <v/>
      </c>
      <c r="AW246" s="2858" t="n"/>
      <c r="AX246" s="2789" t="n"/>
      <c r="AY246" s="2858" t="n"/>
      <c r="AZ246" s="2857">
        <f>SUM(C246:AW246)</f>
        <v/>
      </c>
      <c r="BA246" s="2858" t="n"/>
    </row>
    <row outlineLevel="2" r="247" s="1843" spans="1:55">
      <c r="A247" s="2857" t="s">
        <v>191</v>
      </c>
      <c r="B247" s="2789" t="n"/>
      <c r="C247" s="2858" t="n"/>
      <c r="D247" s="2842">
        <f>' SET Cost(staf+OS)'!D315/1000</f>
        <v/>
      </c>
      <c r="E247" s="2842" t="n"/>
      <c r="F247" s="2789" t="n"/>
      <c r="G247" s="2842" t="n"/>
      <c r="H247" s="2842">
        <f>' SET Cost(staf+OS)'!E315/1000</f>
        <v/>
      </c>
      <c r="I247" s="2842" t="n"/>
      <c r="J247" s="2789" t="n"/>
      <c r="K247" s="2842" t="n"/>
      <c r="L247" s="2842">
        <f>' SET Cost(staf+OS)'!F315/1000</f>
        <v/>
      </c>
      <c r="M247" s="2842" t="n"/>
      <c r="N247" s="2799" t="n"/>
      <c r="O247" s="2842" t="n"/>
      <c r="P247" s="2842">
        <f>' SET Cost(staf+OS)'!G315/1000</f>
        <v/>
      </c>
      <c r="Q247" s="2842" t="n"/>
      <c r="R247" s="2789" t="n"/>
      <c r="S247" s="2842" t="n"/>
      <c r="T247" s="2842">
        <f>' SET Cost(staf+OS)'!H315/1000</f>
        <v/>
      </c>
      <c r="U247" s="2842" t="n"/>
      <c r="V247" s="2799" t="n"/>
      <c r="W247" s="2842" t="n"/>
      <c r="X247" s="2842">
        <f>' SET Cost(staf+OS)'!I315/1000</f>
        <v/>
      </c>
      <c r="Y247" s="2842" t="n"/>
      <c r="Z247" s="2799" t="n"/>
      <c r="AA247" s="2842" t="n"/>
      <c r="AB247" s="2842">
        <f>' SET Cost(staf+OS)'!J315/1000</f>
        <v/>
      </c>
      <c r="AC247" s="2842" t="n"/>
      <c r="AD247" s="2799" t="n"/>
      <c r="AE247" s="2842" t="n"/>
      <c r="AF247" s="2842">
        <f>' SET Cost(staf+OS)'!K315/1000</f>
        <v/>
      </c>
      <c r="AG247" s="2842" t="n"/>
      <c r="AH247" s="2799" t="n"/>
      <c r="AI247" s="2842" t="n"/>
      <c r="AJ247" s="2842">
        <f>' SET Cost(staf+OS)'!L315/1000</f>
        <v/>
      </c>
      <c r="AK247" s="2842" t="n"/>
      <c r="AL247" s="2789" t="n"/>
      <c r="AM247" s="2842" t="n"/>
      <c r="AN247" s="2842">
        <f>' SET Cost(staf+OS)'!M315/1000</f>
        <v/>
      </c>
      <c r="AO247" s="2842" t="n"/>
      <c r="AP247" s="2789" t="n"/>
      <c r="AQ247" s="2842" t="n"/>
      <c r="AR247" s="2842">
        <f>' SET Cost(staf+OS)'!N315/1000</f>
        <v/>
      </c>
      <c r="AS247" s="2842" t="n"/>
      <c r="AT247" s="2789" t="n"/>
      <c r="AU247" s="2842" t="n"/>
      <c r="AV247" s="2842">
        <f>' SET Cost(staf+OS)'!O315/1000</f>
        <v/>
      </c>
      <c r="AW247" s="2858" t="n"/>
      <c r="AX247" s="2789" t="n"/>
      <c r="AY247" s="2858" t="n"/>
      <c r="AZ247" s="2857">
        <f>SUM(C247:AW247)</f>
        <v/>
      </c>
      <c r="BA247" s="2858" t="n"/>
    </row>
    <row outlineLevel="2" r="248" s="1843" spans="1:55">
      <c r="A248" s="2857" t="s">
        <v>192</v>
      </c>
      <c r="B248" s="2789" t="n"/>
      <c r="C248" s="2858" t="n"/>
      <c r="D248" s="2842">
        <f>' SET Cost(staf+OS)'!D316/1000</f>
        <v/>
      </c>
      <c r="E248" s="2842" t="n"/>
      <c r="F248" s="2789" t="n"/>
      <c r="G248" s="2842" t="n"/>
      <c r="H248" s="2842">
        <f>' SET Cost(staf+OS)'!E316/1000</f>
        <v/>
      </c>
      <c r="I248" s="2842" t="n"/>
      <c r="J248" s="2789" t="n"/>
      <c r="K248" s="2842" t="n"/>
      <c r="L248" s="2842">
        <f>' SET Cost(staf+OS)'!F316/1000</f>
        <v/>
      </c>
      <c r="M248" s="2842" t="n"/>
      <c r="N248" s="2799" t="n"/>
      <c r="O248" s="2842" t="n"/>
      <c r="P248" s="2842">
        <f>' SET Cost(staf+OS)'!G316/1000</f>
        <v/>
      </c>
      <c r="Q248" s="2842" t="n"/>
      <c r="R248" s="2789" t="n"/>
      <c r="S248" s="2842" t="n"/>
      <c r="T248" s="2842">
        <f>' SET Cost(staf+OS)'!H316/1000</f>
        <v/>
      </c>
      <c r="U248" s="2842" t="n"/>
      <c r="V248" s="2799" t="n"/>
      <c r="W248" s="2842" t="n"/>
      <c r="X248" s="2842">
        <f>' SET Cost(staf+OS)'!I316/1000</f>
        <v/>
      </c>
      <c r="Y248" s="2842" t="n"/>
      <c r="Z248" s="2799" t="n"/>
      <c r="AA248" s="2842" t="n"/>
      <c r="AB248" s="2842">
        <f>' SET Cost(staf+OS)'!J316/1000</f>
        <v/>
      </c>
      <c r="AC248" s="2842" t="n"/>
      <c r="AD248" s="2799" t="n"/>
      <c r="AE248" s="2842" t="n"/>
      <c r="AF248" s="2842">
        <f>' SET Cost(staf+OS)'!K316/1000</f>
        <v/>
      </c>
      <c r="AG248" s="2842" t="n"/>
      <c r="AH248" s="2799" t="n"/>
      <c r="AI248" s="2842" t="n"/>
      <c r="AJ248" s="2842">
        <f>' SET Cost(staf+OS)'!L316/1000</f>
        <v/>
      </c>
      <c r="AK248" s="2842" t="n"/>
      <c r="AL248" s="2789" t="n"/>
      <c r="AM248" s="2842" t="n"/>
      <c r="AN248" s="2842">
        <f>' SET Cost(staf+OS)'!M316/1000</f>
        <v/>
      </c>
      <c r="AO248" s="2842" t="n"/>
      <c r="AP248" s="2789" t="n"/>
      <c r="AQ248" s="2842" t="n"/>
      <c r="AR248" s="2842">
        <f>' SET Cost(staf+OS)'!N316/1000</f>
        <v/>
      </c>
      <c r="AS248" s="2842" t="n"/>
      <c r="AT248" s="2789" t="n"/>
      <c r="AU248" s="2842" t="n"/>
      <c r="AV248" s="2842">
        <f>' SET Cost(staf+OS)'!O316/1000</f>
        <v/>
      </c>
      <c r="AW248" s="2858" t="n"/>
      <c r="AX248" s="2789" t="n"/>
      <c r="AY248" s="2858" t="n"/>
      <c r="AZ248" s="2857">
        <f>SUM(C248:AW248)</f>
        <v/>
      </c>
      <c r="BA248" s="2858" t="n"/>
    </row>
    <row outlineLevel="2" r="249" s="1843" spans="1:55">
      <c r="A249" s="2857" t="s">
        <v>194</v>
      </c>
      <c r="B249" s="2789" t="n"/>
      <c r="C249" s="2858" t="n"/>
      <c r="D249" s="2842">
        <f>' SET Cost(staf+OS)'!D317/1000+'OS&amp;Travel Exp'!C55/1000</f>
        <v/>
      </c>
      <c r="E249" s="2842" t="n"/>
      <c r="F249" s="2789" t="n"/>
      <c r="G249" s="2842" t="n"/>
      <c r="H249" s="2842">
        <f>' SET Cost(staf+OS)'!E317/1000+'OS&amp;Travel Exp'!D55/1000</f>
        <v/>
      </c>
      <c r="I249" s="2842" t="n"/>
      <c r="J249" s="2789" t="n"/>
      <c r="K249" s="2842" t="n"/>
      <c r="L249" s="2842">
        <f>' SET Cost(staf+OS)'!F317/1000+'OS&amp;Travel Exp'!E55/1000</f>
        <v/>
      </c>
      <c r="M249" s="2842" t="n"/>
      <c r="N249" s="2799" t="n"/>
      <c r="O249" s="2842" t="n"/>
      <c r="P249" s="2842" t="n">
        <v>0</v>
      </c>
      <c r="Q249" s="2842" t="n"/>
      <c r="R249" s="2789" t="n"/>
      <c r="S249" s="2842" t="n"/>
      <c r="T249" s="2842">
        <f>' SET Cost(staf+OS)'!H317/1000+'OS&amp;Travel Exp'!G55/1000</f>
        <v/>
      </c>
      <c r="U249" s="2842" t="n"/>
      <c r="V249" s="2799" t="n"/>
      <c r="W249" s="2842" t="n"/>
      <c r="X249" s="2842">
        <f>' SET Cost(staf+OS)'!I317/1000+'OS&amp;Travel Exp'!H55/1000</f>
        <v/>
      </c>
      <c r="Y249" s="2842" t="n"/>
      <c r="Z249" s="2799" t="n"/>
      <c r="AA249" s="2842" t="n"/>
      <c r="AB249" s="2842">
        <f>' SET Cost(staf+OS)'!J317/1000+'OS&amp;Travel Exp'!I55/1000</f>
        <v/>
      </c>
      <c r="AC249" s="2842" t="n"/>
      <c r="AD249" s="2799" t="n"/>
      <c r="AE249" s="2842" t="n"/>
      <c r="AF249" s="2842">
        <f>' SET Cost(staf+OS)'!K317/1000+'OS&amp;Travel Exp'!J55/1000</f>
        <v/>
      </c>
      <c r="AG249" s="2842" t="n"/>
      <c r="AH249" s="2799" t="n"/>
      <c r="AI249" s="2842" t="n"/>
      <c r="AJ249" s="2842">
        <f>' SET Cost(staf+OS)'!L317/1000+'OS&amp;Travel Exp'!K55/1000</f>
        <v/>
      </c>
      <c r="AK249" s="2842" t="n"/>
      <c r="AL249" s="2789" t="n"/>
      <c r="AM249" s="2842" t="n"/>
      <c r="AN249" s="2842">
        <f>' SET Cost(staf+OS)'!M317/1000+'OS&amp;Travel Exp'!L55/1000</f>
        <v/>
      </c>
      <c r="AO249" s="2842" t="n"/>
      <c r="AP249" s="2789" t="n"/>
      <c r="AQ249" s="2842" t="n"/>
      <c r="AR249" s="2842">
        <f>' SET Cost(staf+OS)'!N317/1000+'OS&amp;Travel Exp'!M55/1000</f>
        <v/>
      </c>
      <c r="AS249" s="2842" t="n"/>
      <c r="AT249" s="2789" t="n"/>
      <c r="AU249" s="2842" t="n"/>
      <c r="AV249" s="2842">
        <f>' SET Cost(staf+OS)'!O317/1000+'OS&amp;Travel Exp'!N55/1000</f>
        <v/>
      </c>
      <c r="AW249" s="2858" t="n"/>
      <c r="AX249" s="2789" t="n"/>
      <c r="AY249" s="2858" t="n"/>
      <c r="AZ249" s="2857">
        <f>SUM(C249:AW249)</f>
        <v/>
      </c>
      <c r="BA249" s="2858" t="n"/>
    </row>
    <row outlineLevel="2" r="250" s="1843" spans="1:55">
      <c r="A250" s="2857" t="s">
        <v>195</v>
      </c>
      <c r="B250" s="2789" t="n"/>
      <c r="C250" s="2857" t="n"/>
      <c r="D250" s="2842">
        <f>' SET Cost(staf+OS)'!D318/1000+'OS&amp;Travel Exp'!C32/1000</f>
        <v/>
      </c>
      <c r="E250" s="2842" t="n"/>
      <c r="F250" s="2789" t="n"/>
      <c r="G250" s="2842" t="n"/>
      <c r="H250" s="2842">
        <f>' SET Cost(staf+OS)'!E318/1000+'OS&amp;Travel Exp'!D32/1000</f>
        <v/>
      </c>
      <c r="I250" s="2842" t="n"/>
      <c r="J250" s="2789" t="n"/>
      <c r="K250" s="2842" t="n"/>
      <c r="L250" s="2842">
        <f>' SET Cost(staf+OS)'!F318/1000+'OS&amp;Travel Exp'!E32/1000</f>
        <v/>
      </c>
      <c r="M250" s="2842" t="n"/>
      <c r="N250" s="2799" t="n"/>
      <c r="O250" s="2842" t="n"/>
      <c r="P250" s="2842">
        <f>' SET Cost(staf+OS)'!G318/1000+'OS&amp;Travel Exp'!F32/1000</f>
        <v/>
      </c>
      <c r="Q250" s="2842" t="n"/>
      <c r="R250" s="2789" t="n"/>
      <c r="S250" s="2842" t="n"/>
      <c r="T250" s="2842">
        <f>' SET Cost(staf+OS)'!H318/1000+'OS&amp;Travel Exp'!G32/1000</f>
        <v/>
      </c>
      <c r="U250" s="2842" t="n"/>
      <c r="V250" s="2799" t="n"/>
      <c r="W250" s="2842" t="n"/>
      <c r="X250" s="2842">
        <f>' SET Cost(staf+OS)'!I318/1000+'OS&amp;Travel Exp'!H32/1000</f>
        <v/>
      </c>
      <c r="Y250" s="2842" t="n"/>
      <c r="Z250" s="2799" t="n"/>
      <c r="AA250" s="2842" t="n"/>
      <c r="AB250" s="2842">
        <f>' SET Cost(staf+OS)'!J318/1000+'OS&amp;Travel Exp'!I32/1000</f>
        <v/>
      </c>
      <c r="AC250" s="2842" t="n"/>
      <c r="AD250" s="2799" t="n"/>
      <c r="AE250" s="2842" t="n"/>
      <c r="AF250" s="2842">
        <f>' SET Cost(staf+OS)'!K318/1000+'OS&amp;Travel Exp'!J32/1000</f>
        <v/>
      </c>
      <c r="AG250" s="2842" t="n"/>
      <c r="AH250" s="2799" t="n"/>
      <c r="AI250" s="2842" t="n"/>
      <c r="AJ250" s="2842">
        <f>' SET Cost(staf+OS)'!L318/1000+'OS&amp;Travel Exp'!K32/1000</f>
        <v/>
      </c>
      <c r="AK250" s="2842" t="n"/>
      <c r="AL250" s="2789" t="n"/>
      <c r="AM250" s="2842" t="n"/>
      <c r="AN250" s="2842">
        <f>' SET Cost(staf+OS)'!M318/1000+'OS&amp;Travel Exp'!L32/1000</f>
        <v/>
      </c>
      <c r="AO250" s="2842" t="n"/>
      <c r="AP250" s="2789" t="n"/>
      <c r="AQ250" s="2842" t="n"/>
      <c r="AR250" s="2842">
        <f>' SET Cost(staf+OS)'!N318/1000+'OS&amp;Travel Exp'!M32/1000</f>
        <v/>
      </c>
      <c r="AS250" s="2842" t="n"/>
      <c r="AT250" s="2789" t="n"/>
      <c r="AU250" s="2842" t="n"/>
      <c r="AV250" s="2842">
        <f>' SET Cost(staf+OS)'!O318/1000+'OS&amp;Travel Exp'!N32/1000</f>
        <v/>
      </c>
      <c r="AW250" s="2857" t="n"/>
      <c r="AX250" s="2789" t="n"/>
      <c r="AY250" s="2857" t="n"/>
      <c r="AZ250" s="2857">
        <f>SUM(C250:AW250)</f>
        <v/>
      </c>
      <c r="BA250" s="2857" t="n"/>
    </row>
    <row outlineLevel="2" r="251" s="1843" spans="1:55">
      <c r="A251" s="2794" t="s">
        <v>366</v>
      </c>
      <c r="B251" s="2793" t="n"/>
      <c r="C251" s="2794" t="n"/>
      <c r="D251" s="2844">
        <f>'OS&amp;Travel Exp'!C7</f>
        <v/>
      </c>
      <c r="E251" s="2844" t="n"/>
      <c r="F251" s="2793" t="n"/>
      <c r="G251" s="2844" t="n"/>
      <c r="H251" s="2844">
        <f>'OS&amp;Travel Exp'!D7</f>
        <v/>
      </c>
      <c r="I251" s="2844" t="n"/>
      <c r="J251" s="2793" t="n"/>
      <c r="K251" s="2844" t="n"/>
      <c r="L251" s="2844">
        <f>'OS&amp;Travel Exp'!E7</f>
        <v/>
      </c>
      <c r="M251" s="2844" t="n"/>
      <c r="N251" s="2795" t="n"/>
      <c r="O251" s="2844" t="n"/>
      <c r="P251" s="2844">
        <f>'OS&amp;Travel Exp'!F7</f>
        <v/>
      </c>
      <c r="Q251" s="2844" t="n"/>
      <c r="R251" s="2793" t="n"/>
      <c r="S251" s="2844" t="n"/>
      <c r="T251" s="2844">
        <f>'OS&amp;Travel Exp'!G7</f>
        <v/>
      </c>
      <c r="U251" s="2844" t="n"/>
      <c r="V251" s="2795" t="n"/>
      <c r="W251" s="2844" t="n"/>
      <c r="X251" s="2844">
        <f>'OS&amp;Travel Exp'!H7</f>
        <v/>
      </c>
      <c r="Y251" s="2844" t="n"/>
      <c r="Z251" s="2795" t="n"/>
      <c r="AA251" s="2844" t="n"/>
      <c r="AB251" s="2844">
        <f>'OS&amp;Travel Exp'!I7</f>
        <v/>
      </c>
      <c r="AC251" s="2844" t="n"/>
      <c r="AD251" s="2795" t="n"/>
      <c r="AE251" s="2844" t="n"/>
      <c r="AF251" s="2844">
        <f>'OS&amp;Travel Exp'!J7</f>
        <v/>
      </c>
      <c r="AG251" s="2844" t="n"/>
      <c r="AH251" s="2795" t="n"/>
      <c r="AI251" s="2844" t="n"/>
      <c r="AJ251" s="2844">
        <f>'OS&amp;Travel Exp'!K7</f>
        <v/>
      </c>
      <c r="AK251" s="2844" t="n"/>
      <c r="AL251" s="2793" t="n"/>
      <c r="AM251" s="2844" t="n"/>
      <c r="AN251" s="2844">
        <f>'OS&amp;Travel Exp'!L7</f>
        <v/>
      </c>
      <c r="AO251" s="2844" t="n"/>
      <c r="AP251" s="2793" t="n"/>
      <c r="AQ251" s="2844" t="n"/>
      <c r="AR251" s="2844">
        <f>'OS&amp;Travel Exp'!M7</f>
        <v/>
      </c>
      <c r="AS251" s="2844" t="n"/>
      <c r="AT251" s="2793" t="n"/>
      <c r="AU251" s="2844" t="n"/>
      <c r="AV251" s="2844">
        <f>'OS&amp;Travel Exp'!N7</f>
        <v/>
      </c>
      <c r="AW251" s="2794" t="n"/>
      <c r="AX251" s="2793" t="n"/>
      <c r="AY251" s="2794" t="n"/>
      <c r="AZ251" s="2794">
        <f>SUM(C251:AW251)</f>
        <v/>
      </c>
      <c r="BA251" s="2794" t="n"/>
    </row>
    <row outlineLevel="2" r="252" s="1843" spans="1:55">
      <c r="A252" s="2857" t="s">
        <v>161</v>
      </c>
      <c r="B252" s="2789" t="n"/>
      <c r="C252" s="2857" t="n"/>
      <c r="D252" s="2842">
        <f>' SET Cost(staf+OS)'!D320/1000</f>
        <v/>
      </c>
      <c r="E252" s="2842" t="n"/>
      <c r="F252" s="2789" t="n"/>
      <c r="G252" s="2842" t="n"/>
      <c r="H252" s="2842">
        <f>' SET Cost(staf+OS)'!E320/1000</f>
        <v/>
      </c>
      <c r="I252" s="2842" t="n"/>
      <c r="J252" s="2789" t="n"/>
      <c r="K252" s="2842" t="n"/>
      <c r="L252" s="2842">
        <f>' SET Cost(staf+OS)'!F320/1000</f>
        <v/>
      </c>
      <c r="M252" s="2842" t="n"/>
      <c r="N252" s="2799" t="n"/>
      <c r="O252" s="2842" t="n"/>
      <c r="P252" s="2842">
        <f>' SET Cost(staf+OS)'!G320/1000</f>
        <v/>
      </c>
      <c r="Q252" s="2842" t="n"/>
      <c r="R252" s="2789" t="n"/>
      <c r="S252" s="2842" t="n"/>
      <c r="T252" s="2842">
        <f>' SET Cost(staf+OS)'!H320/1000</f>
        <v/>
      </c>
      <c r="U252" s="2842" t="n"/>
      <c r="V252" s="2799" t="n"/>
      <c r="W252" s="2842" t="n"/>
      <c r="X252" s="2842">
        <f>' SET Cost(staf+OS)'!I320/1000</f>
        <v/>
      </c>
      <c r="Y252" s="2842" t="n"/>
      <c r="Z252" s="2799" t="n"/>
      <c r="AA252" s="2842" t="n"/>
      <c r="AB252" s="2842">
        <f>' SET Cost(staf+OS)'!J320/1000</f>
        <v/>
      </c>
      <c r="AC252" s="2842" t="n"/>
      <c r="AD252" s="2799" t="n"/>
      <c r="AE252" s="2842" t="n"/>
      <c r="AF252" s="2842">
        <f>' SET Cost(staf+OS)'!K320/1000</f>
        <v/>
      </c>
      <c r="AG252" s="2842" t="n"/>
      <c r="AH252" s="2799" t="n"/>
      <c r="AI252" s="2842" t="n"/>
      <c r="AJ252" s="2842">
        <f>' SET Cost(staf+OS)'!L320/1000</f>
        <v/>
      </c>
      <c r="AK252" s="2842" t="n"/>
      <c r="AL252" s="2789" t="n"/>
      <c r="AM252" s="2842" t="n"/>
      <c r="AN252" s="2842">
        <f>' SET Cost(staf+OS)'!M320/1000</f>
        <v/>
      </c>
      <c r="AO252" s="2842" t="n"/>
      <c r="AP252" s="2789" t="n"/>
      <c r="AQ252" s="2842" t="n"/>
      <c r="AR252" s="2842">
        <f>' SET Cost(staf+OS)'!N320/1000</f>
        <v/>
      </c>
      <c r="AS252" s="2842" t="n"/>
      <c r="AT252" s="2789" t="n"/>
      <c r="AU252" s="2842" t="n"/>
      <c r="AV252" s="2842">
        <f>' SET Cost(staf+OS)'!O320/1000</f>
        <v/>
      </c>
      <c r="AW252" s="2857" t="n"/>
      <c r="AX252" s="2789" t="n"/>
      <c r="AY252" s="2857" t="n"/>
      <c r="AZ252" s="2857">
        <f>SUM(C252:AW252)</f>
        <v/>
      </c>
      <c r="BA252" s="2857" t="n"/>
    </row>
    <row outlineLevel="2" r="253" s="1843" spans="1:55">
      <c r="A253" s="2859" t="s">
        <v>367</v>
      </c>
      <c r="B253" s="2789" t="n"/>
      <c r="C253" s="2858" t="n"/>
      <c r="D253" s="2842">
        <f>' SET Cost(staf+OS)'!D321/1000</f>
        <v/>
      </c>
      <c r="E253" s="2842" t="n"/>
      <c r="F253" s="2789" t="n"/>
      <c r="G253" s="2842" t="n"/>
      <c r="H253" s="2842">
        <f>' SET Cost(staf+OS)'!E321/1000</f>
        <v/>
      </c>
      <c r="I253" s="2842" t="n"/>
      <c r="J253" s="2789" t="n"/>
      <c r="K253" s="2842" t="n"/>
      <c r="L253" s="2842">
        <f>' SET Cost(staf+OS)'!F321/1000</f>
        <v/>
      </c>
      <c r="M253" s="2842" t="n"/>
      <c r="N253" s="2799" t="n"/>
      <c r="O253" s="2842" t="n"/>
      <c r="P253" s="2842">
        <f>' SET Cost(staf+OS)'!G321/1000</f>
        <v/>
      </c>
      <c r="Q253" s="2842" t="n"/>
      <c r="R253" s="2789" t="n"/>
      <c r="S253" s="2842" t="n"/>
      <c r="T253" s="2842">
        <f>' SET Cost(staf+OS)'!H321/1000</f>
        <v/>
      </c>
      <c r="U253" s="2842" t="n"/>
      <c r="V253" s="2799" t="n"/>
      <c r="W253" s="2842" t="n"/>
      <c r="X253" s="2842">
        <f>' SET Cost(staf+OS)'!I321/1000</f>
        <v/>
      </c>
      <c r="Y253" s="2842" t="n"/>
      <c r="Z253" s="2799" t="n"/>
      <c r="AA253" s="2842" t="n"/>
      <c r="AB253" s="2842">
        <f>' SET Cost(staf+OS)'!J321/1000</f>
        <v/>
      </c>
      <c r="AC253" s="2842" t="n"/>
      <c r="AD253" s="2799" t="n"/>
      <c r="AE253" s="2842" t="n"/>
      <c r="AF253" s="2842">
        <f>' SET Cost(staf+OS)'!K321/1000</f>
        <v/>
      </c>
      <c r="AG253" s="2842" t="n"/>
      <c r="AH253" s="2799" t="n"/>
      <c r="AI253" s="2842" t="n"/>
      <c r="AJ253" s="2842">
        <f>' SET Cost(staf+OS)'!L321/1000</f>
        <v/>
      </c>
      <c r="AK253" s="2842" t="n"/>
      <c r="AL253" s="2789" t="n"/>
      <c r="AM253" s="2842" t="n"/>
      <c r="AN253" s="2842">
        <f>' SET Cost(staf+OS)'!M321/1000</f>
        <v/>
      </c>
      <c r="AO253" s="2842" t="n"/>
      <c r="AP253" s="2789" t="n"/>
      <c r="AQ253" s="2842" t="n"/>
      <c r="AR253" s="2842">
        <f>' SET Cost(staf+OS)'!N321/1000</f>
        <v/>
      </c>
      <c r="AS253" s="2842" t="n"/>
      <c r="AT253" s="2789" t="n"/>
      <c r="AU253" s="2842" t="n"/>
      <c r="AV253" s="2842">
        <f>' SET Cost(staf+OS)'!O321/1000</f>
        <v/>
      </c>
      <c r="AW253" s="2858" t="n"/>
      <c r="AX253" s="2789" t="n"/>
      <c r="AY253" s="2858" t="n"/>
      <c r="AZ253" s="2857">
        <f>SUM(C253:AW253)</f>
        <v/>
      </c>
      <c r="BA253" s="2858" t="n"/>
    </row>
    <row outlineLevel="2" r="254" s="1843" spans="1:55">
      <c r="A254" s="2860" t="s">
        <v>232</v>
      </c>
      <c r="B254" s="2789" t="n"/>
      <c r="C254" s="2857" t="n"/>
      <c r="D254" s="2842">
        <f>' SET Cost(staf+OS)'!D322/1000</f>
        <v/>
      </c>
      <c r="E254" s="2842" t="n"/>
      <c r="F254" s="2789" t="n"/>
      <c r="G254" s="2842" t="n"/>
      <c r="H254" s="2842">
        <f>' SET Cost(staf+OS)'!E322/1000</f>
        <v/>
      </c>
      <c r="I254" s="2842" t="n"/>
      <c r="J254" s="2789" t="n"/>
      <c r="K254" s="2842" t="n"/>
      <c r="L254" s="2842">
        <f>' SET Cost(staf+OS)'!F322/1000</f>
        <v/>
      </c>
      <c r="M254" s="2842" t="n"/>
      <c r="N254" s="2799" t="n"/>
      <c r="O254" s="2842" t="n"/>
      <c r="P254" s="2842">
        <f>' SET Cost(staf+OS)'!G322/1000</f>
        <v/>
      </c>
      <c r="Q254" s="2842" t="n"/>
      <c r="R254" s="2789" t="n"/>
      <c r="S254" s="2842" t="n"/>
      <c r="T254" s="2842">
        <f>' SET Cost(staf+OS)'!H322/1000</f>
        <v/>
      </c>
      <c r="U254" s="2842" t="n"/>
      <c r="V254" s="2799" t="n"/>
      <c r="W254" s="2842" t="n"/>
      <c r="X254" s="2842">
        <f>' SET Cost(staf+OS)'!I322/1000</f>
        <v/>
      </c>
      <c r="Y254" s="2842" t="n"/>
      <c r="Z254" s="2799" t="n"/>
      <c r="AA254" s="2842" t="n"/>
      <c r="AB254" s="2842">
        <f>' SET Cost(staf+OS)'!J322/1000</f>
        <v/>
      </c>
      <c r="AC254" s="2842" t="n"/>
      <c r="AD254" s="2799" t="n"/>
      <c r="AE254" s="2842" t="n"/>
      <c r="AF254" s="2842">
        <f>' SET Cost(staf+OS)'!K322/1000</f>
        <v/>
      </c>
      <c r="AG254" s="2842" t="n"/>
      <c r="AH254" s="2799" t="n"/>
      <c r="AI254" s="2842" t="n"/>
      <c r="AJ254" s="2842">
        <f>' SET Cost(staf+OS)'!L322/1000</f>
        <v/>
      </c>
      <c r="AK254" s="2842" t="n"/>
      <c r="AL254" s="2789" t="n"/>
      <c r="AM254" s="2842" t="n"/>
      <c r="AN254" s="2842">
        <f>' SET Cost(staf+OS)'!M322/1000</f>
        <v/>
      </c>
      <c r="AO254" s="2842" t="n"/>
      <c r="AP254" s="2789" t="n"/>
      <c r="AQ254" s="2842" t="n"/>
      <c r="AR254" s="2842">
        <f>' SET Cost(staf+OS)'!N322/1000</f>
        <v/>
      </c>
      <c r="AS254" s="2842" t="n"/>
      <c r="AT254" s="2789" t="n"/>
      <c r="AU254" s="2842" t="n"/>
      <c r="AV254" s="2842">
        <f>' SET Cost(staf+OS)'!O322/1000</f>
        <v/>
      </c>
      <c r="AW254" s="2858" t="n"/>
      <c r="AX254" s="2789" t="n"/>
      <c r="AY254" s="2858" t="n"/>
      <c r="AZ254" s="2857">
        <f>SUM(C254:AW254)</f>
        <v/>
      </c>
      <c r="BA254" s="2858" t="n"/>
    </row>
    <row outlineLevel="2" r="255" s="1843" spans="1:55">
      <c r="A255" s="2861" t="s">
        <v>233</v>
      </c>
      <c r="B255" s="2789" t="n"/>
      <c r="C255" s="2862" t="n"/>
      <c r="D255" s="2842">
        <f>' SET Cost(staf+OS)'!D323/1000</f>
        <v/>
      </c>
      <c r="E255" s="2842" t="n"/>
      <c r="F255" s="2789" t="n"/>
      <c r="G255" s="2842" t="n"/>
      <c r="H255" s="2842">
        <f>' SET Cost(staf+OS)'!E323/1000</f>
        <v/>
      </c>
      <c r="I255" s="2842" t="n"/>
      <c r="J255" s="2789" t="n"/>
      <c r="K255" s="2842" t="n"/>
      <c r="L255" s="2842">
        <f>' SET Cost(staf+OS)'!F323/1000</f>
        <v/>
      </c>
      <c r="M255" s="2842" t="n"/>
      <c r="N255" s="2799" t="n"/>
      <c r="O255" s="2842" t="n"/>
      <c r="P255" s="2842">
        <f>' SET Cost(staf+OS)'!G323/1000</f>
        <v/>
      </c>
      <c r="Q255" s="2842" t="n"/>
      <c r="R255" s="2789" t="n"/>
      <c r="S255" s="2842" t="n"/>
      <c r="T255" s="2842">
        <f>' SET Cost(staf+OS)'!H323/1000</f>
        <v/>
      </c>
      <c r="U255" s="2842" t="n"/>
      <c r="V255" s="2799" t="n"/>
      <c r="W255" s="2842" t="n"/>
      <c r="X255" s="2842">
        <f>' SET Cost(staf+OS)'!I323/1000</f>
        <v/>
      </c>
      <c r="Y255" s="2842" t="n"/>
      <c r="Z255" s="2799" t="n"/>
      <c r="AA255" s="2842" t="n"/>
      <c r="AB255" s="2842">
        <f>' SET Cost(staf+OS)'!J323/1000</f>
        <v/>
      </c>
      <c r="AC255" s="2842" t="n"/>
      <c r="AD255" s="2799" t="n"/>
      <c r="AE255" s="2842" t="n"/>
      <c r="AF255" s="2842">
        <f>' SET Cost(staf+OS)'!K323/1000</f>
        <v/>
      </c>
      <c r="AG255" s="2842" t="n"/>
      <c r="AH255" s="2799" t="n"/>
      <c r="AI255" s="2842" t="n"/>
      <c r="AJ255" s="2842">
        <f>' SET Cost(staf+OS)'!L323/1000</f>
        <v/>
      </c>
      <c r="AK255" s="2842" t="n"/>
      <c r="AL255" s="2789" t="n"/>
      <c r="AM255" s="2842" t="n"/>
      <c r="AN255" s="2842">
        <f>' SET Cost(staf+OS)'!M323/1000</f>
        <v/>
      </c>
      <c r="AO255" s="2842" t="n"/>
      <c r="AP255" s="2789" t="n"/>
      <c r="AQ255" s="2842" t="n"/>
      <c r="AR255" s="2842">
        <f>' SET Cost(staf+OS)'!N323/1000</f>
        <v/>
      </c>
      <c r="AS255" s="2842" t="n"/>
      <c r="AT255" s="2789" t="n"/>
      <c r="AU255" s="2842" t="n"/>
      <c r="AV255" s="2842">
        <f>' SET Cost(staf+OS)'!O323/1000</f>
        <v/>
      </c>
      <c r="AW255" s="2862" t="n"/>
      <c r="AX255" s="2789" t="n"/>
      <c r="AY255" s="2862" t="n"/>
      <c r="AZ255" s="2857">
        <f>SUM(C255:AW255)</f>
        <v/>
      </c>
      <c r="BA255" s="2862" t="n"/>
    </row>
    <row outlineLevel="2" r="256" s="1843" spans="1:55">
      <c r="A256" s="2860" t="s">
        <v>368</v>
      </c>
      <c r="B256" s="2789" t="n"/>
      <c r="C256" s="2857" t="n"/>
      <c r="D256" s="2842">
        <f>' SET Cost(staf+OS)'!D324/1000</f>
        <v/>
      </c>
      <c r="E256" s="2842" t="n"/>
      <c r="F256" s="2789" t="n"/>
      <c r="G256" s="2842" t="n"/>
      <c r="H256" s="2842">
        <f>' SET Cost(staf+OS)'!E324/1000</f>
        <v/>
      </c>
      <c r="I256" s="2842" t="n"/>
      <c r="J256" s="2789" t="n"/>
      <c r="K256" s="2842" t="n"/>
      <c r="L256" s="2842">
        <f>' SET Cost(staf+OS)'!F324/1000</f>
        <v/>
      </c>
      <c r="M256" s="2842" t="n"/>
      <c r="N256" s="2799" t="n"/>
      <c r="O256" s="2842" t="n"/>
      <c r="P256" s="2842">
        <f>' SET Cost(staf+OS)'!G324/1000</f>
        <v/>
      </c>
      <c r="Q256" s="2842" t="n"/>
      <c r="R256" s="2789" t="n"/>
      <c r="S256" s="2842" t="n"/>
      <c r="T256" s="2842">
        <f>' SET Cost(staf+OS)'!H324/1000</f>
        <v/>
      </c>
      <c r="U256" s="2842" t="n"/>
      <c r="V256" s="2799" t="n"/>
      <c r="W256" s="2842" t="n"/>
      <c r="X256" s="2842">
        <f>' SET Cost(staf+OS)'!I324/1000</f>
        <v/>
      </c>
      <c r="Y256" s="2842" t="n"/>
      <c r="Z256" s="2799" t="n"/>
      <c r="AA256" s="2842" t="n"/>
      <c r="AB256" s="2842">
        <f>' SET Cost(staf+OS)'!J324/1000</f>
        <v/>
      </c>
      <c r="AC256" s="2842" t="n"/>
      <c r="AD256" s="2799" t="n"/>
      <c r="AE256" s="2842" t="n"/>
      <c r="AF256" s="2842">
        <f>' SET Cost(staf+OS)'!K324/1000</f>
        <v/>
      </c>
      <c r="AG256" s="2842" t="n"/>
      <c r="AH256" s="2799" t="n"/>
      <c r="AI256" s="2842" t="n"/>
      <c r="AJ256" s="2842">
        <f>' SET Cost(staf+OS)'!L324/1000</f>
        <v/>
      </c>
      <c r="AK256" s="2842" t="n"/>
      <c r="AL256" s="2789" t="n"/>
      <c r="AM256" s="2842" t="n"/>
      <c r="AN256" s="2842">
        <f>' SET Cost(staf+OS)'!M324/1000</f>
        <v/>
      </c>
      <c r="AO256" s="2842" t="n"/>
      <c r="AP256" s="2789" t="n"/>
      <c r="AQ256" s="2842" t="n"/>
      <c r="AR256" s="2842">
        <f>' SET Cost(staf+OS)'!N324/1000</f>
        <v/>
      </c>
      <c r="AS256" s="2842" t="n"/>
      <c r="AT256" s="2789" t="n"/>
      <c r="AU256" s="2842" t="n"/>
      <c r="AV256" s="2842">
        <f>' SET Cost(staf+OS)'!O324/1000</f>
        <v/>
      </c>
      <c r="AW256" s="2857" t="n"/>
      <c r="AX256" s="2789" t="n"/>
      <c r="AY256" s="2857" t="n"/>
      <c r="AZ256" s="2857">
        <f>SUM(C256:AW256)</f>
        <v/>
      </c>
      <c r="BA256" s="2857" t="n"/>
    </row>
    <row outlineLevel="2" r="257" s="1843" spans="1:55">
      <c r="A257" s="2860" t="s">
        <v>369</v>
      </c>
      <c r="B257" s="2789" t="n"/>
      <c r="C257" s="2857" t="n"/>
      <c r="D257" s="2842">
        <f>' SET Cost(staf+OS)'!D325/1000</f>
        <v/>
      </c>
      <c r="E257" s="2842" t="n"/>
      <c r="F257" s="2789" t="n"/>
      <c r="G257" s="2842" t="n"/>
      <c r="H257" s="2842">
        <f>' SET Cost(staf+OS)'!E325/1000</f>
        <v/>
      </c>
      <c r="I257" s="2842" t="n"/>
      <c r="J257" s="2789" t="n"/>
      <c r="K257" s="2842" t="n"/>
      <c r="L257" s="2842">
        <f>' SET Cost(staf+OS)'!F325/1000</f>
        <v/>
      </c>
      <c r="M257" s="2842" t="n"/>
      <c r="N257" s="2799" t="n"/>
      <c r="O257" s="2842" t="n"/>
      <c r="P257" s="2842">
        <f>' SET Cost(staf+OS)'!G325/1000</f>
        <v/>
      </c>
      <c r="Q257" s="2842" t="n"/>
      <c r="R257" s="2789" t="n"/>
      <c r="S257" s="2842" t="n"/>
      <c r="T257" s="2842">
        <f>' SET Cost(staf+OS)'!H325/1000</f>
        <v/>
      </c>
      <c r="U257" s="2842" t="n"/>
      <c r="V257" s="2799" t="n"/>
      <c r="W257" s="2842" t="n"/>
      <c r="X257" s="2842">
        <f>' SET Cost(staf+OS)'!I325/1000</f>
        <v/>
      </c>
      <c r="Y257" s="2842" t="n"/>
      <c r="Z257" s="2799" t="n"/>
      <c r="AA257" s="2842" t="n"/>
      <c r="AB257" s="2842">
        <f>' SET Cost(staf+OS)'!J325/1000</f>
        <v/>
      </c>
      <c r="AC257" s="2842" t="n"/>
      <c r="AD257" s="2799" t="n"/>
      <c r="AE257" s="2842" t="n"/>
      <c r="AF257" s="2842">
        <f>' SET Cost(staf+OS)'!K325/1000</f>
        <v/>
      </c>
      <c r="AG257" s="2842" t="n"/>
      <c r="AH257" s="2799" t="n"/>
      <c r="AI257" s="2842" t="n"/>
      <c r="AJ257" s="2842">
        <f>' SET Cost(staf+OS)'!L325/1000</f>
        <v/>
      </c>
      <c r="AK257" s="2842" t="n"/>
      <c r="AL257" s="2789" t="n"/>
      <c r="AM257" s="2842" t="n"/>
      <c r="AN257" s="2842">
        <f>' SET Cost(staf+OS)'!M325/1000</f>
        <v/>
      </c>
      <c r="AO257" s="2842" t="n"/>
      <c r="AP257" s="2789" t="n"/>
      <c r="AQ257" s="2842" t="n"/>
      <c r="AR257" s="2842">
        <f>' SET Cost(staf+OS)'!N325/1000</f>
        <v/>
      </c>
      <c r="AS257" s="2842" t="n"/>
      <c r="AT257" s="2789" t="n"/>
      <c r="AU257" s="2842" t="n"/>
      <c r="AV257" s="2842">
        <f>' SET Cost(staf+OS)'!O325/1000</f>
        <v/>
      </c>
      <c r="AW257" s="2857" t="n"/>
      <c r="AX257" s="2789" t="n"/>
      <c r="AY257" s="2857" t="n"/>
      <c r="AZ257" s="2857">
        <f>SUM(C257:AW257)</f>
        <v/>
      </c>
      <c r="BA257" s="2857" t="n"/>
    </row>
    <row outlineLevel="2" r="258" s="1843" spans="1:55">
      <c r="A258" s="2859" t="s">
        <v>370</v>
      </c>
      <c r="B258" s="2789" t="n"/>
      <c r="C258" s="2858" t="n"/>
      <c r="D258" s="2842">
        <f>' SET Cost(staf+OS)'!D326/1000</f>
        <v/>
      </c>
      <c r="E258" s="2842" t="n"/>
      <c r="F258" s="2789" t="n"/>
      <c r="G258" s="2842" t="n"/>
      <c r="H258" s="2842">
        <f>' SET Cost(staf+OS)'!E326/1000</f>
        <v/>
      </c>
      <c r="I258" s="2842" t="n"/>
      <c r="J258" s="2789" t="n"/>
      <c r="K258" s="2842" t="n"/>
      <c r="L258" s="2842">
        <f>' SET Cost(staf+OS)'!F326/1000</f>
        <v/>
      </c>
      <c r="M258" s="2842" t="n"/>
      <c r="N258" s="2799" t="n"/>
      <c r="O258" s="2842" t="n"/>
      <c r="P258" s="2842">
        <f>' SET Cost(staf+OS)'!G326/1000</f>
        <v/>
      </c>
      <c r="Q258" s="2842" t="n"/>
      <c r="R258" s="2789" t="n"/>
      <c r="S258" s="2842" t="n"/>
      <c r="T258" s="2842">
        <f>' SET Cost(staf+OS)'!H326/1000</f>
        <v/>
      </c>
      <c r="U258" s="2842" t="n"/>
      <c r="V258" s="2799" t="n"/>
      <c r="W258" s="2842" t="n"/>
      <c r="X258" s="2842">
        <f>' SET Cost(staf+OS)'!I326/1000</f>
        <v/>
      </c>
      <c r="Y258" s="2842" t="n"/>
      <c r="Z258" s="2799" t="n"/>
      <c r="AA258" s="2842" t="n"/>
      <c r="AB258" s="2842">
        <f>' SET Cost(staf+OS)'!J326/1000</f>
        <v/>
      </c>
      <c r="AC258" s="2842" t="n"/>
      <c r="AD258" s="2799" t="n"/>
      <c r="AE258" s="2842" t="n"/>
      <c r="AF258" s="2842">
        <f>' SET Cost(staf+OS)'!K326/1000</f>
        <v/>
      </c>
      <c r="AG258" s="2842" t="n"/>
      <c r="AH258" s="2799" t="n"/>
      <c r="AI258" s="2842" t="n"/>
      <c r="AJ258" s="2842">
        <f>' SET Cost(staf+OS)'!L326/1000</f>
        <v/>
      </c>
      <c r="AK258" s="2842" t="n"/>
      <c r="AL258" s="2789" t="n"/>
      <c r="AM258" s="2842" t="n"/>
      <c r="AN258" s="2842">
        <f>' SET Cost(staf+OS)'!M326/1000</f>
        <v/>
      </c>
      <c r="AO258" s="2842" t="n"/>
      <c r="AP258" s="2789" t="n"/>
      <c r="AQ258" s="2842" t="n"/>
      <c r="AR258" s="2842">
        <f>' SET Cost(staf+OS)'!N326/1000</f>
        <v/>
      </c>
      <c r="AS258" s="2842" t="n"/>
      <c r="AT258" s="2789" t="n"/>
      <c r="AU258" s="2842" t="n"/>
      <c r="AV258" s="2842">
        <f>' SET Cost(staf+OS)'!O326/1000</f>
        <v/>
      </c>
      <c r="AW258" s="2858" t="n"/>
      <c r="AX258" s="2789" t="n"/>
      <c r="AY258" s="2858" t="n"/>
      <c r="AZ258" s="2857">
        <f>SUM(C258:AW258)</f>
        <v/>
      </c>
      <c r="BA258" s="2858" t="n"/>
    </row>
    <row outlineLevel="2" r="259" s="1843" spans="1:55">
      <c r="A259" s="2865" t="s">
        <v>371</v>
      </c>
      <c r="B259" s="2789" t="n"/>
      <c r="C259" s="2866" t="n"/>
      <c r="D259" s="2842">
        <f>' SET Cost(staf+OS)'!D327/1000</f>
        <v/>
      </c>
      <c r="E259" s="2842" t="n"/>
      <c r="F259" s="2789" t="n"/>
      <c r="G259" s="2842" t="n"/>
      <c r="H259" s="2842">
        <f>' SET Cost(staf+OS)'!E327/1000</f>
        <v/>
      </c>
      <c r="I259" s="2842" t="n"/>
      <c r="J259" s="2789" t="n"/>
      <c r="K259" s="2842" t="n"/>
      <c r="L259" s="2842">
        <f>' SET Cost(staf+OS)'!F327/1000</f>
        <v/>
      </c>
      <c r="M259" s="2842" t="n"/>
      <c r="N259" s="2799" t="n"/>
      <c r="O259" s="2842" t="n"/>
      <c r="P259" s="2842">
        <f>' SET Cost(staf+OS)'!G327/1000</f>
        <v/>
      </c>
      <c r="Q259" s="2842" t="n"/>
      <c r="R259" s="2789" t="n"/>
      <c r="S259" s="2842" t="n"/>
      <c r="T259" s="2842">
        <f>' SET Cost(staf+OS)'!H327/1000</f>
        <v/>
      </c>
      <c r="U259" s="2842" t="n"/>
      <c r="V259" s="2799" t="n"/>
      <c r="W259" s="2842" t="n"/>
      <c r="X259" s="2842">
        <f>' SET Cost(staf+OS)'!I327/1000</f>
        <v/>
      </c>
      <c r="Y259" s="2842" t="n"/>
      <c r="Z259" s="2799" t="n"/>
      <c r="AA259" s="2842" t="n"/>
      <c r="AB259" s="2842">
        <f>' SET Cost(staf+OS)'!J327/1000</f>
        <v/>
      </c>
      <c r="AC259" s="2842" t="n"/>
      <c r="AD259" s="2799" t="n"/>
      <c r="AE259" s="2842" t="n"/>
      <c r="AF259" s="2842">
        <f>' SET Cost(staf+OS)'!K327/1000</f>
        <v/>
      </c>
      <c r="AG259" s="2842" t="n"/>
      <c r="AH259" s="2799" t="n"/>
      <c r="AI259" s="2842" t="n"/>
      <c r="AJ259" s="2842">
        <f>' SET Cost(staf+OS)'!L327/1000</f>
        <v/>
      </c>
      <c r="AK259" s="2842" t="n"/>
      <c r="AL259" s="2789" t="n"/>
      <c r="AM259" s="2842" t="n"/>
      <c r="AN259" s="2842">
        <f>' SET Cost(staf+OS)'!M327/1000</f>
        <v/>
      </c>
      <c r="AO259" s="2842" t="n"/>
      <c r="AP259" s="2789" t="n"/>
      <c r="AQ259" s="2842" t="n"/>
      <c r="AR259" s="2842">
        <f>' SET Cost(staf+OS)'!N327/1000</f>
        <v/>
      </c>
      <c r="AS259" s="2842" t="n"/>
      <c r="AT259" s="2789" t="n"/>
      <c r="AU259" s="2842" t="n"/>
      <c r="AV259" s="2842">
        <f>' SET Cost(staf+OS)'!O327/1000</f>
        <v/>
      </c>
      <c r="AW259" s="2866" t="n"/>
      <c r="AX259" s="2789" t="n"/>
      <c r="AY259" s="2866" t="n"/>
      <c r="AZ259" s="2866">
        <f>SUM(C259:AW259)</f>
        <v/>
      </c>
      <c r="BA259" s="2866" t="n"/>
    </row>
    <row outlineLevel="2" r="260" s="1843" spans="1:55">
      <c r="A260" s="2845" t="s">
        <v>372</v>
      </c>
      <c r="B260" s="2845" t="n"/>
      <c r="C260" s="2841" t="n"/>
      <c r="D260" s="2842">
        <f>' SET Cost(staf+OS)'!D328/1000</f>
        <v/>
      </c>
      <c r="E260" s="2842" t="n"/>
      <c r="F260" s="2789" t="n"/>
      <c r="G260" s="2842" t="n"/>
      <c r="H260" s="2842">
        <f>' SET Cost(staf+OS)'!E328/1000</f>
        <v/>
      </c>
      <c r="I260" s="2842" t="n"/>
      <c r="J260" s="2789" t="n"/>
      <c r="K260" s="2842" t="n"/>
      <c r="L260" s="2842">
        <f>' SET Cost(staf+OS)'!F328/1000</f>
        <v/>
      </c>
      <c r="M260" s="2842" t="n"/>
      <c r="N260" s="2799" t="n"/>
      <c r="O260" s="2842" t="n"/>
      <c r="P260" s="2842">
        <f>' SET Cost(staf+OS)'!G328/1000</f>
        <v/>
      </c>
      <c r="Q260" s="2842" t="n"/>
      <c r="R260" s="2789" t="n"/>
      <c r="S260" s="2842" t="n"/>
      <c r="T260" s="2842">
        <f>' SET Cost(staf+OS)'!H328/1000</f>
        <v/>
      </c>
      <c r="U260" s="2842" t="n"/>
      <c r="V260" s="2799" t="n"/>
      <c r="W260" s="2842" t="n"/>
      <c r="X260" s="2842">
        <f>' SET Cost(staf+OS)'!I328/1000</f>
        <v/>
      </c>
      <c r="Y260" s="2842" t="n"/>
      <c r="Z260" s="2799" t="n"/>
      <c r="AA260" s="2842" t="n"/>
      <c r="AB260" s="2842">
        <f>' SET Cost(staf+OS)'!J328/1000</f>
        <v/>
      </c>
      <c r="AC260" s="2842" t="n"/>
      <c r="AD260" s="2799" t="n"/>
      <c r="AE260" s="2842" t="n"/>
      <c r="AF260" s="2842">
        <f>' SET Cost(staf+OS)'!K328/1000</f>
        <v/>
      </c>
      <c r="AG260" s="2842" t="n"/>
      <c r="AH260" s="2799" t="n"/>
      <c r="AI260" s="2842" t="n"/>
      <c r="AJ260" s="2842">
        <f>' SET Cost(staf+OS)'!L328/1000</f>
        <v/>
      </c>
      <c r="AK260" s="2842" t="n"/>
      <c r="AL260" s="2789" t="n"/>
      <c r="AM260" s="2842" t="n"/>
      <c r="AN260" s="2842">
        <f>' SET Cost(staf+OS)'!M328/1000</f>
        <v/>
      </c>
      <c r="AO260" s="2842" t="n"/>
      <c r="AP260" s="2789" t="n"/>
      <c r="AQ260" s="2842" t="n"/>
      <c r="AR260" s="2842">
        <f>' SET Cost(staf+OS)'!N328/1000</f>
        <v/>
      </c>
      <c r="AS260" s="2842" t="n"/>
      <c r="AT260" s="2789" t="n"/>
      <c r="AU260" s="2842" t="n"/>
      <c r="AV260" s="2842">
        <f>' SET Cost(staf+OS)'!O328/1000</f>
        <v/>
      </c>
      <c r="AW260" s="2841" t="n"/>
      <c r="AX260" s="2845" t="n"/>
      <c r="AY260" s="2841" t="n"/>
      <c r="AZ260" s="2841">
        <f>SUM(C260:AW260)</f>
        <v/>
      </c>
      <c r="BA260" s="2841" t="n"/>
    </row>
    <row outlineLevel="2" r="261" s="1843" spans="1:55">
      <c r="A261" s="2845" t="s">
        <v>89</v>
      </c>
      <c r="B261" s="2845" t="n"/>
      <c r="C261" s="2841">
        <f>'FY18 SET'!G39/1000</f>
        <v/>
      </c>
      <c r="D261" s="2841" t="n"/>
      <c r="E261" s="2841" t="n"/>
      <c r="F261" s="2845" t="n"/>
      <c r="G261" s="2841">
        <f>'FY18 SET'!H39/1000</f>
        <v/>
      </c>
      <c r="H261" s="2841" t="n"/>
      <c r="I261" s="2841" t="n"/>
      <c r="J261" s="2845" t="n"/>
      <c r="K261" s="2841">
        <f>'FY18 SET'!I39/1000</f>
        <v/>
      </c>
      <c r="L261" s="2841" t="n"/>
      <c r="M261" s="2841" t="n"/>
      <c r="N261" s="2867" t="n"/>
      <c r="O261" s="2841">
        <f>'FY18 SET'!J39/1000</f>
        <v/>
      </c>
      <c r="P261" s="2841" t="n"/>
      <c r="Q261" s="2841" t="n"/>
      <c r="R261" s="2845" t="n"/>
      <c r="S261" s="2841">
        <f>'FY18 SET'!K39/1000</f>
        <v/>
      </c>
      <c r="T261" s="2841" t="n"/>
      <c r="U261" s="2841" t="n"/>
      <c r="V261" s="2867" t="n"/>
      <c r="W261" s="2841">
        <f>'FY18 SET'!L39/1000</f>
        <v/>
      </c>
      <c r="X261" s="2841" t="n"/>
      <c r="Y261" s="2841" t="n"/>
      <c r="Z261" s="2867" t="n"/>
      <c r="AA261" s="2841">
        <f>'FY18 SET'!N39/1000</f>
        <v/>
      </c>
      <c r="AB261" s="2841" t="n"/>
      <c r="AC261" s="2841" t="n"/>
      <c r="AD261" s="2867" t="n"/>
      <c r="AE261" s="2841">
        <f>'FY18 SET'!O39/1000</f>
        <v/>
      </c>
      <c r="AF261" s="2841" t="n"/>
      <c r="AG261" s="2841" t="n"/>
      <c r="AH261" s="2841" t="n"/>
      <c r="AI261" s="2841">
        <f>'FY18 SET'!P39/1000</f>
        <v/>
      </c>
      <c r="AJ261" s="2841" t="n"/>
      <c r="AK261" s="2841" t="n"/>
      <c r="AL261" s="2845" t="n"/>
      <c r="AM261" s="2841">
        <f>'FY18 SET'!Q39/1000</f>
        <v/>
      </c>
      <c r="AN261" s="2841" t="n"/>
      <c r="AO261" s="2841" t="n"/>
      <c r="AP261" s="2845" t="n"/>
      <c r="AQ261" s="2841">
        <f>'FY18 SET'!R39/1000</f>
        <v/>
      </c>
      <c r="AR261" s="2841" t="n"/>
      <c r="AS261" s="2841" t="n"/>
      <c r="AT261" s="2845" t="n"/>
      <c r="AU261" s="2841">
        <f>'FY18 SET'!S39/1000</f>
        <v/>
      </c>
      <c r="AV261" s="2841" t="n"/>
      <c r="AW261" s="2841" t="n"/>
      <c r="AX261" s="2845" t="n"/>
      <c r="AY261" s="2841">
        <f>SUM(B261:AV261)</f>
        <v/>
      </c>
      <c r="AZ261" s="2841" t="n"/>
      <c r="BA261" s="2841" t="n"/>
    </row>
    <row outlineLevel="2" r="262" s="1843" spans="1:55">
      <c r="A262" s="2845" t="s">
        <v>153</v>
      </c>
      <c r="B262" s="2845" t="n"/>
      <c r="C262" s="2841" t="n"/>
      <c r="D262" s="2841" t="n"/>
      <c r="E262" s="2841">
        <f>SUM(C244:C262)-SUM(D244:D262)</f>
        <v/>
      </c>
      <c r="F262" s="2845" t="n"/>
      <c r="G262" s="2841" t="n"/>
      <c r="H262" s="2841" t="n"/>
      <c r="I262" s="2841">
        <f>SUM(G244:G262)-SUM(H244:H262)</f>
        <v/>
      </c>
      <c r="J262" s="2845" t="n"/>
      <c r="K262" s="2841" t="n"/>
      <c r="L262" s="2841" t="n"/>
      <c r="M262" s="2841">
        <f>SUM(K244:K262)-SUM(L244:L262)</f>
        <v/>
      </c>
      <c r="N262" s="2867" t="n"/>
      <c r="O262" s="2841" t="n"/>
      <c r="P262" s="2841" t="n"/>
      <c r="Q262" s="2841">
        <f>SUM(O244:O262)-SUM(P244:P262)</f>
        <v/>
      </c>
      <c r="R262" s="2845" t="n"/>
      <c r="S262" s="2841" t="n"/>
      <c r="T262" s="2841" t="n"/>
      <c r="U262" s="2841">
        <f>SUM(S244:S262)-SUM(T244:T262)</f>
        <v/>
      </c>
      <c r="V262" s="2867" t="n"/>
      <c r="W262" s="2841" t="n"/>
      <c r="X262" s="2841" t="n"/>
      <c r="Y262" s="2841">
        <f>SUM(W244:W262)-SUM(X244:X262)</f>
        <v/>
      </c>
      <c r="Z262" s="2867" t="n"/>
      <c r="AA262" s="2841" t="n"/>
      <c r="AB262" s="2841" t="n"/>
      <c r="AC262" s="2841">
        <f>SUM(AA244:AA262)-SUM(AB244:AB262)</f>
        <v/>
      </c>
      <c r="AD262" s="2867" t="n"/>
      <c r="AE262" s="2841" t="n"/>
      <c r="AF262" s="2841" t="n"/>
      <c r="AG262" s="2841">
        <f>SUM(AE244:AE262)-SUM(AF244:AF262)</f>
        <v/>
      </c>
      <c r="AH262" s="2867" t="n"/>
      <c r="AI262" s="2841" t="n"/>
      <c r="AJ262" s="2841" t="n"/>
      <c r="AK262" s="2841">
        <f>SUM(AI244:AI262)-SUM(AJ244:AJ262)</f>
        <v/>
      </c>
      <c r="AL262" s="2845" t="n"/>
      <c r="AM262" s="2841" t="n"/>
      <c r="AN262" s="2841" t="n"/>
      <c r="AO262" s="2841">
        <f>SUM(AM244:AM262)-SUM(AN244:AN262)</f>
        <v/>
      </c>
      <c r="AP262" s="2845" t="n"/>
      <c r="AQ262" s="2841" t="n"/>
      <c r="AR262" s="2841" t="n"/>
      <c r="AS262" s="2841">
        <f>SUM(AQ244:AQ262)-SUM(AR244:AR262)</f>
        <v/>
      </c>
      <c r="AT262" s="2845" t="n"/>
      <c r="AU262" s="2841" t="n"/>
      <c r="AV262" s="2841" t="n"/>
      <c r="AW262" s="2841">
        <f>SUM(AU244:AU262)-SUM(AV244:AV262)</f>
        <v/>
      </c>
      <c r="AX262" s="2845" t="n"/>
      <c r="AY262" s="2841" t="n"/>
      <c r="AZ262" s="2841" t="n"/>
      <c r="BA262" s="2866">
        <f>SUM(D262:AY262)</f>
        <v/>
      </c>
    </row>
    <row customFormat="1" outlineLevel="2" r="263" s="2802" spans="1:55">
      <c r="A263" s="2847" t="s">
        <v>173</v>
      </c>
      <c r="B263" s="2847" t="n"/>
      <c r="C263" s="2848">
        <f>SUM(C244:C262)</f>
        <v/>
      </c>
      <c r="D263" s="2848">
        <f>SUM(D244:D262)</f>
        <v/>
      </c>
      <c r="E263" s="2848">
        <f>SUM(E262:E262)</f>
        <v/>
      </c>
      <c r="F263" s="2847" t="n"/>
      <c r="G263" s="2848">
        <f>SUM(G244:G262)</f>
        <v/>
      </c>
      <c r="H263" s="2848">
        <f>SUM(H244:H262)</f>
        <v/>
      </c>
      <c r="I263" s="2848">
        <f>SUM(I262:I262)</f>
        <v/>
      </c>
      <c r="J263" s="2847" t="n"/>
      <c r="K263" s="2848">
        <f>SUM(K244:K262)</f>
        <v/>
      </c>
      <c r="L263" s="2848">
        <f>SUM(L244:L262)</f>
        <v/>
      </c>
      <c r="M263" s="2848">
        <f>SUM(M262:M262)</f>
        <v/>
      </c>
      <c r="N263" s="2868" t="n"/>
      <c r="O263" s="2848">
        <f>SUM(O244:O262)</f>
        <v/>
      </c>
      <c r="P263" s="2848">
        <f>SUM(P244:P262)</f>
        <v/>
      </c>
      <c r="Q263" s="2848">
        <f>SUM(Q262:Q262)</f>
        <v/>
      </c>
      <c r="R263" s="2847" t="n"/>
      <c r="S263" s="2848">
        <f>SUM(S244:S262)</f>
        <v/>
      </c>
      <c r="T263" s="2848">
        <f>SUM(T244:T262)</f>
        <v/>
      </c>
      <c r="U263" s="2848">
        <f>SUM(U262:U262)</f>
        <v/>
      </c>
      <c r="V263" s="2868" t="n"/>
      <c r="W263" s="2848">
        <f>SUM(W244:W262)</f>
        <v/>
      </c>
      <c r="X263" s="2848">
        <f>SUM(X244:X262)</f>
        <v/>
      </c>
      <c r="Y263" s="2848">
        <f>SUM(Y262:Y262)</f>
        <v/>
      </c>
      <c r="Z263" s="2868" t="n"/>
      <c r="AA263" s="2848">
        <f>SUM(AA244:AA262)</f>
        <v/>
      </c>
      <c r="AB263" s="2848">
        <f>SUM(AB244:AB262)</f>
        <v/>
      </c>
      <c r="AC263" s="2848">
        <f>SUM(AC262:AC262)</f>
        <v/>
      </c>
      <c r="AD263" s="2868" t="n"/>
      <c r="AE263" s="2848">
        <f>SUM(AE244:AE262)</f>
        <v/>
      </c>
      <c r="AF263" s="2848">
        <f>SUM(AF244:AF262)</f>
        <v/>
      </c>
      <c r="AG263" s="2848">
        <f>SUM(AG262:AG262)</f>
        <v/>
      </c>
      <c r="AH263" s="2868" t="n"/>
      <c r="AI263" s="2848">
        <f>SUM(AI244:AI262)</f>
        <v/>
      </c>
      <c r="AJ263" s="2848">
        <f>SUM(AJ244:AJ262)</f>
        <v/>
      </c>
      <c r="AK263" s="2848">
        <f>SUM(AK262:AK262)</f>
        <v/>
      </c>
      <c r="AL263" s="2847" t="n"/>
      <c r="AM263" s="2848">
        <f>SUM(AM244:AM262)</f>
        <v/>
      </c>
      <c r="AN263" s="2848">
        <f>SUM(AN244:AN262)</f>
        <v/>
      </c>
      <c r="AO263" s="2848">
        <f>SUM(AO262:AO262)</f>
        <v/>
      </c>
      <c r="AP263" s="2847" t="n"/>
      <c r="AQ263" s="2848">
        <f>SUM(AQ244:AQ262)</f>
        <v/>
      </c>
      <c r="AR263" s="2848">
        <f>SUM(AR244:AR262)</f>
        <v/>
      </c>
      <c r="AS263" s="2848">
        <f>SUM(AS262:AS262)</f>
        <v/>
      </c>
      <c r="AT263" s="2847" t="n"/>
      <c r="AU263" s="2848">
        <f>SUM(AU244:AU262)</f>
        <v/>
      </c>
      <c r="AV263" s="2848">
        <f>SUM(AV244:AV262)</f>
        <v/>
      </c>
      <c r="AW263" s="2848">
        <f>SUM(AW262:AW262)</f>
        <v/>
      </c>
      <c r="AX263" s="2847" t="n"/>
      <c r="AY263" s="2847">
        <f>SUM(AY244:AY262)</f>
        <v/>
      </c>
      <c r="AZ263" s="2847">
        <f>SUM(AZ244:AZ262)</f>
        <v/>
      </c>
      <c r="BA263" s="2847">
        <f>SUM(BA262:BA262)</f>
        <v/>
      </c>
    </row>
    <row customFormat="1" outlineLevel="2" r="264" s="2808" spans="1:55">
      <c r="A264" s="2847" t="s">
        <v>385</v>
      </c>
      <c r="B264" s="2847" t="n"/>
      <c r="C264" s="2848" t="n"/>
      <c r="D264" s="2848" t="n"/>
      <c r="E264" s="2849">
        <f>E263/C263</f>
        <v/>
      </c>
      <c r="F264" s="2847" t="n"/>
      <c r="G264" s="2848" t="n"/>
      <c r="H264" s="2848" t="n"/>
      <c r="I264" s="2849">
        <f>I263/G263</f>
        <v/>
      </c>
      <c r="J264" s="2847" t="n"/>
      <c r="K264" s="2848" t="n"/>
      <c r="L264" s="2848" t="n"/>
      <c r="M264" s="2849">
        <f>M263/K263</f>
        <v/>
      </c>
      <c r="N264" s="2848" t="n"/>
      <c r="O264" s="2848" t="n"/>
      <c r="P264" s="2848" t="n"/>
      <c r="Q264" s="2849">
        <f>Q263/O263</f>
        <v/>
      </c>
      <c r="R264" s="2847" t="n"/>
      <c r="S264" s="2848" t="n"/>
      <c r="T264" s="2848" t="n"/>
      <c r="U264" s="2849">
        <f>U263/S263</f>
        <v/>
      </c>
      <c r="V264" s="2848" t="n"/>
      <c r="W264" s="2848" t="n"/>
      <c r="X264" s="2848" t="n"/>
      <c r="Y264" s="2849">
        <f>Y263/W263</f>
        <v/>
      </c>
      <c r="Z264" s="2848" t="n"/>
      <c r="AA264" s="2848" t="n"/>
      <c r="AB264" s="2848" t="n"/>
      <c r="AC264" s="2849">
        <f>AC263/AA263</f>
        <v/>
      </c>
      <c r="AD264" s="2848" t="n"/>
      <c r="AE264" s="2848" t="n"/>
      <c r="AF264" s="2848" t="n"/>
      <c r="AG264" s="2849">
        <f>AG263/AE263</f>
        <v/>
      </c>
      <c r="AH264" s="2848" t="n"/>
      <c r="AI264" s="2848" t="n"/>
      <c r="AJ264" s="2848" t="n"/>
      <c r="AK264" s="2849">
        <f>AK263/AI263</f>
        <v/>
      </c>
      <c r="AL264" s="2847" t="n"/>
      <c r="AM264" s="2848" t="n"/>
      <c r="AN264" s="2848" t="n"/>
      <c r="AO264" s="2849">
        <f>AO263/AM263</f>
        <v/>
      </c>
      <c r="AP264" s="2847" t="n"/>
      <c r="AQ264" s="2848" t="n"/>
      <c r="AR264" s="2848" t="n"/>
      <c r="AS264" s="2849">
        <f>AS263/AQ263</f>
        <v/>
      </c>
      <c r="AT264" s="2847" t="n"/>
      <c r="AU264" s="2848" t="n"/>
      <c r="AV264" s="2848" t="n"/>
      <c r="AW264" s="2849">
        <f>AW263/AU263</f>
        <v/>
      </c>
      <c r="AX264" s="2847" t="n"/>
      <c r="AY264" s="2847" t="n"/>
      <c r="AZ264" s="2847" t="n"/>
      <c r="BA264" s="2849">
        <f>BA263/AY263</f>
        <v/>
      </c>
    </row>
    <row customFormat="1" r="265" s="2808" spans="1:55">
      <c r="A265" s="2806" t="n"/>
      <c r="B265" s="2806" t="n"/>
      <c r="E265" s="2836" t="n"/>
      <c r="F265" s="2806" t="n"/>
      <c r="I265" s="2836" t="n"/>
      <c r="J265" s="2806" t="n"/>
      <c r="M265" s="2836" t="n"/>
      <c r="Q265" s="2836" t="n"/>
      <c r="R265" s="2806" t="n"/>
      <c r="U265" s="2836" t="n"/>
      <c r="Y265" s="2836" t="n"/>
      <c r="AC265" s="2836" t="n"/>
      <c r="AG265" s="2836" t="n"/>
      <c r="AK265" s="2836" t="n"/>
      <c r="AL265" s="2806" t="n"/>
      <c r="AO265" s="2836" t="n"/>
      <c r="AP265" s="2806" t="n"/>
      <c r="AS265" s="2836" t="n"/>
      <c r="AT265" s="2806" t="n"/>
      <c r="AW265" s="2836" t="n"/>
      <c r="AX265" s="2806" t="n"/>
      <c r="AY265" s="2806" t="n"/>
      <c r="AZ265" s="2806" t="n"/>
      <c r="BA265" s="2836" t="n"/>
    </row>
    <row r="266" spans="1:55">
      <c r="A266" s="2870" t="n">
        <v>12273</v>
      </c>
      <c r="B266" s="2871" t="n"/>
      <c r="C266" s="2872" t="s">
        <v>62</v>
      </c>
      <c r="F266" s="2871" t="n"/>
      <c r="G266" s="2872" t="s">
        <v>63</v>
      </c>
      <c r="J266" s="2871" t="n"/>
      <c r="K266" s="2872" t="s">
        <v>64</v>
      </c>
      <c r="N266" s="2873" t="n"/>
      <c r="O266" s="2872" t="s">
        <v>174</v>
      </c>
      <c r="R266" s="2871" t="n"/>
      <c r="S266" s="2872" t="s">
        <v>66</v>
      </c>
      <c r="V266" s="2873" t="n"/>
      <c r="W266" s="2872" t="s">
        <v>67</v>
      </c>
      <c r="Z266" s="2873" t="n"/>
      <c r="AA266" s="2872" t="s">
        <v>69</v>
      </c>
      <c r="AD266" s="2873" t="n"/>
      <c r="AE266" s="2872" t="s">
        <v>70</v>
      </c>
      <c r="AH266" s="2873" t="n"/>
      <c r="AI266" s="2872" t="s">
        <v>71</v>
      </c>
      <c r="AL266" s="2871" t="n"/>
      <c r="AM266" s="2872" t="s">
        <v>72</v>
      </c>
      <c r="AP266" s="2871" t="n"/>
      <c r="AQ266" s="2872" t="s">
        <v>73</v>
      </c>
      <c r="AT266" s="2871" t="n"/>
      <c r="AU266" s="2872" t="s">
        <v>74</v>
      </c>
      <c r="AX266" s="2871" t="n"/>
      <c r="AY266" s="2872" t="s">
        <v>173</v>
      </c>
    </row>
    <row r="267" spans="1:55">
      <c r="A267" s="2874" t="n"/>
      <c r="B267" s="2875" t="n"/>
      <c r="C267" s="2874" t="s">
        <v>89</v>
      </c>
      <c r="D267" s="2874" t="s">
        <v>152</v>
      </c>
      <c r="E267" s="2874" t="s">
        <v>153</v>
      </c>
      <c r="F267" s="2875" t="n"/>
      <c r="G267" s="2874" t="s">
        <v>89</v>
      </c>
      <c r="H267" s="2874" t="s">
        <v>152</v>
      </c>
      <c r="I267" s="2874" t="s">
        <v>153</v>
      </c>
      <c r="J267" s="2875" t="n"/>
      <c r="K267" s="2874" t="s">
        <v>89</v>
      </c>
      <c r="L267" s="2874" t="s">
        <v>152</v>
      </c>
      <c r="M267" s="2874" t="s">
        <v>153</v>
      </c>
      <c r="N267" s="2873" t="n"/>
      <c r="O267" s="2874" t="s">
        <v>89</v>
      </c>
      <c r="P267" s="2874" t="s">
        <v>152</v>
      </c>
      <c r="Q267" s="2874" t="s">
        <v>153</v>
      </c>
      <c r="R267" s="2875" t="n"/>
      <c r="S267" s="2874" t="s">
        <v>89</v>
      </c>
      <c r="T267" s="2874" t="s">
        <v>152</v>
      </c>
      <c r="U267" s="2874" t="s">
        <v>153</v>
      </c>
      <c r="V267" s="2873" t="n"/>
      <c r="W267" s="2874" t="s">
        <v>89</v>
      </c>
      <c r="X267" s="2874" t="s">
        <v>152</v>
      </c>
      <c r="Y267" s="2874" t="s">
        <v>153</v>
      </c>
      <c r="Z267" s="2873" t="n"/>
      <c r="AA267" s="2874" t="s">
        <v>89</v>
      </c>
      <c r="AB267" s="2874" t="s">
        <v>152</v>
      </c>
      <c r="AC267" s="2874" t="s">
        <v>153</v>
      </c>
      <c r="AD267" s="2873" t="n"/>
      <c r="AE267" s="2874" t="s">
        <v>89</v>
      </c>
      <c r="AF267" s="2874" t="s">
        <v>152</v>
      </c>
      <c r="AG267" s="2874" t="s">
        <v>153</v>
      </c>
      <c r="AH267" s="2873" t="n"/>
      <c r="AI267" s="2874" t="s">
        <v>89</v>
      </c>
      <c r="AJ267" s="2874" t="s">
        <v>152</v>
      </c>
      <c r="AK267" s="2874" t="s">
        <v>153</v>
      </c>
      <c r="AL267" s="2875" t="n"/>
      <c r="AM267" s="2874" t="s">
        <v>89</v>
      </c>
      <c r="AN267" s="2874" t="s">
        <v>152</v>
      </c>
      <c r="AO267" s="2874" t="s">
        <v>153</v>
      </c>
      <c r="AP267" s="2875" t="n"/>
      <c r="AQ267" s="2874" t="s">
        <v>89</v>
      </c>
      <c r="AR267" s="2874" t="s">
        <v>152</v>
      </c>
      <c r="AS267" s="2874" t="s">
        <v>153</v>
      </c>
      <c r="AT267" s="2875" t="n"/>
      <c r="AU267" s="2874" t="s">
        <v>89</v>
      </c>
      <c r="AV267" s="2874" t="s">
        <v>152</v>
      </c>
      <c r="AW267" s="2874" t="s">
        <v>153</v>
      </c>
      <c r="AX267" s="2875" t="n"/>
      <c r="AY267" s="2874" t="s">
        <v>89</v>
      </c>
      <c r="AZ267" s="2874" t="s">
        <v>152</v>
      </c>
      <c r="BA267" s="2874" t="s">
        <v>153</v>
      </c>
    </row>
    <row r="268" spans="1:55">
      <c r="A268" s="2876" t="s">
        <v>187</v>
      </c>
      <c r="B268" s="2877" t="n"/>
      <c r="C268" s="2876" t="n"/>
      <c r="D268" s="2876">
        <f>SUM(D292,D316)</f>
        <v/>
      </c>
      <c r="E268" s="2876" t="n"/>
      <c r="F268" s="2877" t="n"/>
      <c r="G268" s="2876" t="n"/>
      <c r="H268" s="2876">
        <f>SUM(H292,H316)</f>
        <v/>
      </c>
      <c r="I268" s="2876" t="n"/>
      <c r="J268" s="2877" t="n"/>
      <c r="K268" s="2876" t="n"/>
      <c r="L268" s="2876">
        <f>SUM(L292,L316)</f>
        <v/>
      </c>
      <c r="M268" s="2876" t="n"/>
      <c r="N268" s="2873" t="n"/>
      <c r="O268" s="2876" t="n"/>
      <c r="P268" s="2876">
        <f>SUM(P292,P316)</f>
        <v/>
      </c>
      <c r="Q268" s="2876" t="n"/>
      <c r="R268" s="2877" t="n"/>
      <c r="S268" s="2876" t="n"/>
      <c r="T268" s="2876">
        <f>SUM(T292,T316)</f>
        <v/>
      </c>
      <c r="U268" s="2876" t="n"/>
      <c r="V268" s="2873" t="n"/>
      <c r="W268" s="2876" t="n"/>
      <c r="X268" s="2876">
        <f>SUM(X292,X316)</f>
        <v/>
      </c>
      <c r="Y268" s="2876" t="n"/>
      <c r="Z268" s="2873" t="n"/>
      <c r="AA268" s="2876" t="n"/>
      <c r="AB268" s="2876">
        <f>SUM(AB292,AB316)</f>
        <v/>
      </c>
      <c r="AC268" s="2876" t="n"/>
      <c r="AD268" s="2873" t="n"/>
      <c r="AE268" s="2876" t="n"/>
      <c r="AF268" s="2876">
        <f>SUM(AF292,AF316)</f>
        <v/>
      </c>
      <c r="AG268" s="2876" t="n"/>
      <c r="AH268" s="2873" t="n"/>
      <c r="AI268" s="2876" t="n"/>
      <c r="AJ268" s="2876">
        <f>SUM(AJ292,AJ316)</f>
        <v/>
      </c>
      <c r="AK268" s="2876" t="n"/>
      <c r="AL268" s="2877" t="n"/>
      <c r="AM268" s="2876" t="n"/>
      <c r="AN268" s="2876">
        <f>SUM(AN292,AN316)</f>
        <v/>
      </c>
      <c r="AO268" s="2876" t="n"/>
      <c r="AP268" s="2877" t="n"/>
      <c r="AQ268" s="2876" t="n"/>
      <c r="AR268" s="2876">
        <f>SUM(AR292,AR316)</f>
        <v/>
      </c>
      <c r="AS268" s="2876" t="n"/>
      <c r="AT268" s="2877" t="n"/>
      <c r="AU268" s="2876" t="n"/>
      <c r="AV268" s="2876">
        <f>SUM(AV292,AV316)</f>
        <v/>
      </c>
      <c r="AW268" s="2876" t="n"/>
      <c r="AX268" s="2877" t="n"/>
      <c r="AY268" s="2876" t="n"/>
      <c r="AZ268" s="2876">
        <f>SUM(C268:AW268)</f>
        <v/>
      </c>
      <c r="BA268" s="2876" t="n"/>
      <c r="BB268" s="2852" t="n"/>
    </row>
    <row r="269" spans="1:55">
      <c r="A269" s="2876" t="s">
        <v>189</v>
      </c>
      <c r="B269" s="2877" t="n"/>
      <c r="C269" s="2878" t="n"/>
      <c r="D269" s="2876">
        <f>SUM(D293,D317)</f>
        <v/>
      </c>
      <c r="E269" s="2878" t="n"/>
      <c r="F269" s="2877" t="n"/>
      <c r="G269" s="2878" t="n"/>
      <c r="H269" s="2876">
        <f>SUM(H293,H317)</f>
        <v/>
      </c>
      <c r="I269" s="2878" t="n"/>
      <c r="J269" s="2877" t="n"/>
      <c r="K269" s="2878" t="n"/>
      <c r="L269" s="2876">
        <f>SUM(L293,L317)</f>
        <v/>
      </c>
      <c r="M269" s="2878" t="n"/>
      <c r="N269" s="2873" t="n"/>
      <c r="O269" s="2878" t="n"/>
      <c r="P269" s="2876">
        <f>SUM(P293,P317)</f>
        <v/>
      </c>
      <c r="Q269" s="2878" t="n"/>
      <c r="R269" s="2877" t="n"/>
      <c r="S269" s="2878" t="n"/>
      <c r="T269" s="2876">
        <f>SUM(T293,T317)</f>
        <v/>
      </c>
      <c r="U269" s="2878" t="n"/>
      <c r="V269" s="2873" t="n"/>
      <c r="W269" s="2878" t="n"/>
      <c r="X269" s="2876">
        <f>SUM(X293,X317)</f>
        <v/>
      </c>
      <c r="Y269" s="2878" t="n"/>
      <c r="Z269" s="2873" t="n"/>
      <c r="AA269" s="2878" t="n"/>
      <c r="AB269" s="2876">
        <f>SUM(AB293,AB317)</f>
        <v/>
      </c>
      <c r="AC269" s="2878" t="n"/>
      <c r="AD269" s="2873" t="n"/>
      <c r="AE269" s="2878" t="n"/>
      <c r="AF269" s="2876">
        <f>SUM(AF293,AF317)</f>
        <v/>
      </c>
      <c r="AG269" s="2878" t="n"/>
      <c r="AH269" s="2873" t="n"/>
      <c r="AI269" s="2878" t="n"/>
      <c r="AJ269" s="2876">
        <f>SUM(AJ293,AJ317)</f>
        <v/>
      </c>
      <c r="AK269" s="2878" t="n"/>
      <c r="AL269" s="2877" t="n"/>
      <c r="AM269" s="2878" t="n"/>
      <c r="AN269" s="2876">
        <f>SUM(AN293,AN317)</f>
        <v/>
      </c>
      <c r="AO269" s="2878" t="n"/>
      <c r="AP269" s="2877" t="n"/>
      <c r="AQ269" s="2878" t="n"/>
      <c r="AR269" s="2876">
        <f>SUM(AR293,AR317)</f>
        <v/>
      </c>
      <c r="AS269" s="2878" t="n"/>
      <c r="AT269" s="2877" t="n"/>
      <c r="AU269" s="2878" t="n"/>
      <c r="AV269" s="2876">
        <f>SUM(AV293,AV317)</f>
        <v/>
      </c>
      <c r="AW269" s="2878" t="n"/>
      <c r="AX269" s="2877" t="n"/>
      <c r="AY269" s="2878" t="n"/>
      <c r="AZ269" s="2876">
        <f>SUM(C269:AW269)</f>
        <v/>
      </c>
      <c r="BA269" s="2878" t="n"/>
      <c r="BB269" s="2852" t="n"/>
    </row>
    <row r="270" spans="1:55">
      <c r="A270" s="2876" t="s">
        <v>252</v>
      </c>
      <c r="B270" s="2877" t="n"/>
      <c r="C270" s="2878" t="n"/>
      <c r="D270" s="2876">
        <f>SUM(D294,D318)</f>
        <v/>
      </c>
      <c r="E270" s="2878" t="n"/>
      <c r="F270" s="2877" t="n"/>
      <c r="G270" s="2878" t="n"/>
      <c r="H270" s="2876">
        <f>SUM(H294,H318)</f>
        <v/>
      </c>
      <c r="I270" s="2878" t="n"/>
      <c r="J270" s="2877" t="n"/>
      <c r="K270" s="2878" t="n"/>
      <c r="L270" s="2876">
        <f>SUM(L294,L318)</f>
        <v/>
      </c>
      <c r="M270" s="2878" t="n"/>
      <c r="N270" s="2873" t="n"/>
      <c r="O270" s="2878" t="n"/>
      <c r="P270" s="2876">
        <f>SUM(P294,P318)</f>
        <v/>
      </c>
      <c r="Q270" s="2878" t="n"/>
      <c r="R270" s="2877" t="n"/>
      <c r="S270" s="2878" t="n"/>
      <c r="T270" s="2876">
        <f>SUM(T294,T318)</f>
        <v/>
      </c>
      <c r="U270" s="2878" t="n"/>
      <c r="V270" s="2873" t="n"/>
      <c r="W270" s="2878" t="n"/>
      <c r="X270" s="2876">
        <f>SUM(X294,X318)</f>
        <v/>
      </c>
      <c r="Y270" s="2878" t="n"/>
      <c r="Z270" s="2873" t="n"/>
      <c r="AA270" s="2878" t="n"/>
      <c r="AB270" s="2876">
        <f>SUM(AB294,AB318)</f>
        <v/>
      </c>
      <c r="AC270" s="2878" t="n"/>
      <c r="AD270" s="2873" t="n"/>
      <c r="AE270" s="2878" t="n"/>
      <c r="AF270" s="2876">
        <f>SUM(AF294,AF318)</f>
        <v/>
      </c>
      <c r="AG270" s="2878" t="n"/>
      <c r="AH270" s="2873" t="n"/>
      <c r="AI270" s="2878" t="n"/>
      <c r="AJ270" s="2876">
        <f>SUM(AJ294,AJ318)</f>
        <v/>
      </c>
      <c r="AK270" s="2878" t="n"/>
      <c r="AL270" s="2877" t="n"/>
      <c r="AM270" s="2878" t="n"/>
      <c r="AN270" s="2876">
        <f>SUM(AN294,AN318)</f>
        <v/>
      </c>
      <c r="AO270" s="2878" t="n"/>
      <c r="AP270" s="2877" t="n"/>
      <c r="AQ270" s="2878" t="n"/>
      <c r="AR270" s="2876">
        <f>SUM(AR294,AR318)</f>
        <v/>
      </c>
      <c r="AS270" s="2878" t="n"/>
      <c r="AT270" s="2877" t="n"/>
      <c r="AU270" s="2878" t="n"/>
      <c r="AV270" s="2876">
        <f>SUM(AV294,AV318)</f>
        <v/>
      </c>
      <c r="AW270" s="2878" t="n"/>
      <c r="AX270" s="2877" t="n"/>
      <c r="AY270" s="2878" t="n"/>
      <c r="AZ270" s="2876">
        <f>SUM(C270:AW270)</f>
        <v/>
      </c>
      <c r="BA270" s="2878" t="n"/>
      <c r="BB270" s="2852" t="n"/>
    </row>
    <row r="271" spans="1:55">
      <c r="A271" s="2876" t="s">
        <v>191</v>
      </c>
      <c r="B271" s="2877" t="n"/>
      <c r="C271" s="2878" t="n"/>
      <c r="D271" s="2876">
        <f>SUM(D295,D319)</f>
        <v/>
      </c>
      <c r="E271" s="2878" t="n"/>
      <c r="F271" s="2877" t="n"/>
      <c r="G271" s="2878" t="n"/>
      <c r="H271" s="2876">
        <f>SUM(H295,H319)</f>
        <v/>
      </c>
      <c r="I271" s="2878" t="n"/>
      <c r="J271" s="2877" t="n"/>
      <c r="K271" s="2878" t="n"/>
      <c r="L271" s="2876">
        <f>SUM(L295,L319)</f>
        <v/>
      </c>
      <c r="M271" s="2878" t="n"/>
      <c r="N271" s="2873" t="n"/>
      <c r="O271" s="2878" t="n"/>
      <c r="P271" s="2876">
        <f>SUM(P295,P319)</f>
        <v/>
      </c>
      <c r="Q271" s="2878" t="n"/>
      <c r="R271" s="2877" t="n"/>
      <c r="S271" s="2878" t="n"/>
      <c r="T271" s="2876">
        <f>SUM(T295,T319)</f>
        <v/>
      </c>
      <c r="U271" s="2878" t="n"/>
      <c r="V271" s="2873" t="n"/>
      <c r="W271" s="2878" t="n"/>
      <c r="X271" s="2876">
        <f>SUM(X295,X319)</f>
        <v/>
      </c>
      <c r="Y271" s="2878" t="n"/>
      <c r="Z271" s="2873" t="n"/>
      <c r="AA271" s="2878" t="n"/>
      <c r="AB271" s="2876">
        <f>SUM(AB295,AB319)</f>
        <v/>
      </c>
      <c r="AC271" s="2878" t="n"/>
      <c r="AD271" s="2873" t="n"/>
      <c r="AE271" s="2878" t="n"/>
      <c r="AF271" s="2876">
        <f>SUM(AF295,AF319)</f>
        <v/>
      </c>
      <c r="AG271" s="2878" t="n"/>
      <c r="AH271" s="2873" t="n"/>
      <c r="AI271" s="2878" t="n"/>
      <c r="AJ271" s="2876">
        <f>SUM(AJ295,AJ319)</f>
        <v/>
      </c>
      <c r="AK271" s="2878" t="n"/>
      <c r="AL271" s="2877" t="n"/>
      <c r="AM271" s="2878" t="n"/>
      <c r="AN271" s="2876">
        <f>SUM(AN295,AN319)</f>
        <v/>
      </c>
      <c r="AO271" s="2878" t="n"/>
      <c r="AP271" s="2877" t="n"/>
      <c r="AQ271" s="2878" t="n"/>
      <c r="AR271" s="2876">
        <f>SUM(AR295,AR319)</f>
        <v/>
      </c>
      <c r="AS271" s="2878" t="n"/>
      <c r="AT271" s="2877" t="n"/>
      <c r="AU271" s="2878" t="n"/>
      <c r="AV271" s="2876">
        <f>SUM(AV295,AV319)</f>
        <v/>
      </c>
      <c r="AW271" s="2878" t="n"/>
      <c r="AX271" s="2877" t="n"/>
      <c r="AY271" s="2878" t="n"/>
      <c r="AZ271" s="2876">
        <f>SUM(C271:AW271)</f>
        <v/>
      </c>
      <c r="BA271" s="2878" t="n"/>
      <c r="BB271" s="2852" t="n"/>
    </row>
    <row r="272" spans="1:55">
      <c r="A272" s="2876" t="s">
        <v>192</v>
      </c>
      <c r="B272" s="2877" t="n"/>
      <c r="C272" s="2878" t="n"/>
      <c r="D272" s="2876">
        <f>SUM(D296,D320)</f>
        <v/>
      </c>
      <c r="E272" s="2878" t="n"/>
      <c r="F272" s="2877" t="n"/>
      <c r="G272" s="2878" t="n"/>
      <c r="H272" s="2876">
        <f>SUM(H296,H320)</f>
        <v/>
      </c>
      <c r="I272" s="2878" t="n"/>
      <c r="J272" s="2877" t="n"/>
      <c r="K272" s="2878" t="n"/>
      <c r="L272" s="2876">
        <f>SUM(L296,L320)</f>
        <v/>
      </c>
      <c r="M272" s="2878" t="n"/>
      <c r="N272" s="2873" t="n"/>
      <c r="O272" s="2878" t="n"/>
      <c r="P272" s="2876">
        <f>SUM(P296,P320)</f>
        <v/>
      </c>
      <c r="Q272" s="2878" t="n"/>
      <c r="R272" s="2877" t="n"/>
      <c r="S272" s="2878" t="n"/>
      <c r="T272" s="2876">
        <f>SUM(T296,T320)</f>
        <v/>
      </c>
      <c r="U272" s="2878" t="n"/>
      <c r="V272" s="2873" t="n"/>
      <c r="W272" s="2878" t="n"/>
      <c r="X272" s="2876">
        <f>SUM(X296,X320)</f>
        <v/>
      </c>
      <c r="Y272" s="2878" t="n"/>
      <c r="Z272" s="2873" t="n"/>
      <c r="AA272" s="2878" t="n"/>
      <c r="AB272" s="2876">
        <f>SUM(AB296,AB320)</f>
        <v/>
      </c>
      <c r="AC272" s="2878" t="n"/>
      <c r="AD272" s="2873" t="n"/>
      <c r="AE272" s="2878" t="n"/>
      <c r="AF272" s="2876">
        <f>SUM(AF296,AF320)</f>
        <v/>
      </c>
      <c r="AG272" s="2878" t="n"/>
      <c r="AH272" s="2873" t="n"/>
      <c r="AI272" s="2878" t="n"/>
      <c r="AJ272" s="2876">
        <f>SUM(AJ296,AJ320)</f>
        <v/>
      </c>
      <c r="AK272" s="2878" t="n"/>
      <c r="AL272" s="2877" t="n"/>
      <c r="AM272" s="2878" t="n"/>
      <c r="AN272" s="2876">
        <f>SUM(AN296,AN320)</f>
        <v/>
      </c>
      <c r="AO272" s="2878" t="n"/>
      <c r="AP272" s="2877" t="n"/>
      <c r="AQ272" s="2878" t="n"/>
      <c r="AR272" s="2876">
        <f>SUM(AR296,AR320)</f>
        <v/>
      </c>
      <c r="AS272" s="2878" t="n"/>
      <c r="AT272" s="2877" t="n"/>
      <c r="AU272" s="2878" t="n"/>
      <c r="AV272" s="2876">
        <f>SUM(AV296,AV320)</f>
        <v/>
      </c>
      <c r="AW272" s="2878" t="n"/>
      <c r="AX272" s="2877" t="n"/>
      <c r="AY272" s="2878" t="n"/>
      <c r="AZ272" s="2876">
        <f>SUM(C272:AW272)</f>
        <v/>
      </c>
      <c r="BA272" s="2878" t="n"/>
      <c r="BB272" s="2852" t="n"/>
    </row>
    <row r="273" spans="1:55">
      <c r="A273" s="2876" t="s">
        <v>194</v>
      </c>
      <c r="B273" s="2877" t="n"/>
      <c r="C273" s="2878" t="n"/>
      <c r="D273" s="2876">
        <f>SUM(D297,D321)</f>
        <v/>
      </c>
      <c r="E273" s="2878" t="n"/>
      <c r="F273" s="2877" t="n"/>
      <c r="G273" s="2878" t="n"/>
      <c r="H273" s="2876">
        <f>SUM(H297,H321)</f>
        <v/>
      </c>
      <c r="I273" s="2878" t="n"/>
      <c r="J273" s="2877" t="n"/>
      <c r="K273" s="2878" t="n"/>
      <c r="L273" s="2876">
        <f>SUM(L297,L321)</f>
        <v/>
      </c>
      <c r="M273" s="2878" t="n"/>
      <c r="N273" s="2873" t="n"/>
      <c r="O273" s="2878" t="n"/>
      <c r="P273" s="2876">
        <f>SUM(P297,P321)</f>
        <v/>
      </c>
      <c r="Q273" s="2878" t="n"/>
      <c r="R273" s="2877" t="n"/>
      <c r="S273" s="2878" t="n"/>
      <c r="T273" s="2876">
        <f>SUM(T297,T321)</f>
        <v/>
      </c>
      <c r="U273" s="2878" t="n"/>
      <c r="V273" s="2873" t="n"/>
      <c r="W273" s="2878" t="n"/>
      <c r="X273" s="2876">
        <f>SUM(X297,X321)</f>
        <v/>
      </c>
      <c r="Y273" s="2878" t="n"/>
      <c r="Z273" s="2873" t="n"/>
      <c r="AA273" s="2878" t="n"/>
      <c r="AB273" s="2876">
        <f>SUM(AB297,AB321)</f>
        <v/>
      </c>
      <c r="AC273" s="2878" t="n"/>
      <c r="AD273" s="2873" t="n"/>
      <c r="AE273" s="2878" t="n"/>
      <c r="AF273" s="2876">
        <f>SUM(AF297,AF321)</f>
        <v/>
      </c>
      <c r="AG273" s="2878" t="n"/>
      <c r="AH273" s="2873" t="n"/>
      <c r="AI273" s="2878" t="n"/>
      <c r="AJ273" s="2876">
        <f>SUM(AJ297,AJ321)</f>
        <v/>
      </c>
      <c r="AK273" s="2878" t="n"/>
      <c r="AL273" s="2877" t="n"/>
      <c r="AM273" s="2878" t="n"/>
      <c r="AN273" s="2876">
        <f>SUM(AN297,AN321)</f>
        <v/>
      </c>
      <c r="AO273" s="2878" t="n"/>
      <c r="AP273" s="2877" t="n"/>
      <c r="AQ273" s="2878" t="n"/>
      <c r="AR273" s="2876">
        <f>SUM(AR297,AR321)</f>
        <v/>
      </c>
      <c r="AS273" s="2878" t="n"/>
      <c r="AT273" s="2877" t="n"/>
      <c r="AU273" s="2878" t="n"/>
      <c r="AV273" s="2876">
        <f>SUM(AV297,AV321)</f>
        <v/>
      </c>
      <c r="AW273" s="2878" t="n"/>
      <c r="AX273" s="2877" t="n"/>
      <c r="AY273" s="2878" t="n"/>
      <c r="AZ273" s="2876">
        <f>SUM(C273:AW273)</f>
        <v/>
      </c>
      <c r="BA273" s="2878" t="n"/>
      <c r="BB273" s="2852" t="n"/>
    </row>
    <row r="274" spans="1:55">
      <c r="A274" s="2876" t="s">
        <v>195</v>
      </c>
      <c r="B274" s="2877" t="n"/>
      <c r="C274" s="2876" t="n"/>
      <c r="D274" s="2876">
        <f>SUM(D298,D322)</f>
        <v/>
      </c>
      <c r="E274" s="2876" t="n"/>
      <c r="F274" s="2877" t="n"/>
      <c r="G274" s="2876" t="n"/>
      <c r="H274" s="2876">
        <f>SUM(H298,H322)</f>
        <v/>
      </c>
      <c r="I274" s="2876" t="n"/>
      <c r="J274" s="2877" t="n"/>
      <c r="K274" s="2876" t="n"/>
      <c r="L274" s="2876">
        <f>SUM(L298,L322)</f>
        <v/>
      </c>
      <c r="M274" s="2876" t="n"/>
      <c r="N274" s="2873" t="n"/>
      <c r="O274" s="2876" t="n"/>
      <c r="P274" s="2876">
        <f>SUM(P298,P322)</f>
        <v/>
      </c>
      <c r="Q274" s="2876" t="n"/>
      <c r="R274" s="2877" t="n"/>
      <c r="S274" s="2876" t="n"/>
      <c r="T274" s="2876">
        <f>SUM(T298,T322)</f>
        <v/>
      </c>
      <c r="U274" s="2876" t="n"/>
      <c r="V274" s="2873" t="n"/>
      <c r="W274" s="2876" t="n"/>
      <c r="X274" s="2876">
        <f>SUM(X298,X322)</f>
        <v/>
      </c>
      <c r="Y274" s="2876" t="n"/>
      <c r="Z274" s="2873" t="n"/>
      <c r="AA274" s="2876" t="n"/>
      <c r="AB274" s="2876">
        <f>SUM(AB298,AB322)</f>
        <v/>
      </c>
      <c r="AC274" s="2876" t="n"/>
      <c r="AD274" s="2873" t="n"/>
      <c r="AE274" s="2876" t="n"/>
      <c r="AF274" s="2876">
        <f>SUM(AF298,AF322)</f>
        <v/>
      </c>
      <c r="AG274" s="2876" t="n"/>
      <c r="AH274" s="2873" t="n"/>
      <c r="AI274" s="2876" t="n"/>
      <c r="AJ274" s="2876">
        <f>SUM(AJ298,AJ322)</f>
        <v/>
      </c>
      <c r="AK274" s="2876" t="n"/>
      <c r="AL274" s="2877" t="n"/>
      <c r="AM274" s="2876" t="n"/>
      <c r="AN274" s="2876">
        <f>SUM(AN298,AN322)</f>
        <v/>
      </c>
      <c r="AO274" s="2876" t="n"/>
      <c r="AP274" s="2877" t="n"/>
      <c r="AQ274" s="2876" t="n"/>
      <c r="AR274" s="2876">
        <f>SUM(AR298,AR322)</f>
        <v/>
      </c>
      <c r="AS274" s="2876" t="n"/>
      <c r="AT274" s="2877" t="n"/>
      <c r="AU274" s="2876" t="n"/>
      <c r="AV274" s="2876">
        <f>SUM(AV298,AV322)</f>
        <v/>
      </c>
      <c r="AW274" s="2876" t="n"/>
      <c r="AX274" s="2877" t="n"/>
      <c r="AY274" s="2876" t="n"/>
      <c r="AZ274" s="2876">
        <f>SUM(C274:AW274)</f>
        <v/>
      </c>
      <c r="BA274" s="2876" t="n"/>
      <c r="BB274" s="2852" t="n"/>
    </row>
    <row r="275" spans="1:55">
      <c r="A275" s="2794" t="s">
        <v>366</v>
      </c>
      <c r="B275" s="2793" t="n"/>
      <c r="C275" s="2794" t="n"/>
      <c r="D275" s="2792">
        <f>SUM(D299,D323)</f>
        <v/>
      </c>
      <c r="E275" s="2794" t="n"/>
      <c r="F275" s="2793" t="n"/>
      <c r="G275" s="2794" t="n"/>
      <c r="H275" s="2792">
        <f>SUM(H299,H323)</f>
        <v/>
      </c>
      <c r="I275" s="2794" t="n"/>
      <c r="J275" s="2793" t="n"/>
      <c r="K275" s="2794" t="n"/>
      <c r="L275" s="2792">
        <f>SUM(L299,L323)</f>
        <v/>
      </c>
      <c r="M275" s="2794" t="n"/>
      <c r="N275" s="2795" t="n"/>
      <c r="O275" s="2794" t="n"/>
      <c r="P275" s="2792">
        <f>SUM(P299,P323)</f>
        <v/>
      </c>
      <c r="Q275" s="2794" t="n"/>
      <c r="R275" s="2793" t="n"/>
      <c r="S275" s="2794" t="n"/>
      <c r="T275" s="2792">
        <f>SUM(T299,T323)</f>
        <v/>
      </c>
      <c r="U275" s="2794" t="n"/>
      <c r="V275" s="2795" t="n"/>
      <c r="W275" s="2794" t="n"/>
      <c r="X275" s="2792">
        <f>SUM(X299,X323)</f>
        <v/>
      </c>
      <c r="Y275" s="2794" t="n"/>
      <c r="Z275" s="2795" t="n"/>
      <c r="AA275" s="2794" t="n"/>
      <c r="AB275" s="2792">
        <f>SUM(AB299,AB323)</f>
        <v/>
      </c>
      <c r="AC275" s="2794" t="n"/>
      <c r="AD275" s="2795" t="n"/>
      <c r="AE275" s="2794" t="n"/>
      <c r="AF275" s="2792">
        <f>SUM(AF299,AF323)</f>
        <v/>
      </c>
      <c r="AG275" s="2794" t="n"/>
      <c r="AH275" s="2795" t="n"/>
      <c r="AI275" s="2794" t="n"/>
      <c r="AJ275" s="2792">
        <f>SUM(AJ299,AJ323)</f>
        <v/>
      </c>
      <c r="AK275" s="2794" t="n"/>
      <c r="AL275" s="2793" t="n"/>
      <c r="AM275" s="2794" t="n"/>
      <c r="AN275" s="2792">
        <f>SUM(AN299,AN323)</f>
        <v/>
      </c>
      <c r="AO275" s="2794" t="n"/>
      <c r="AP275" s="2793" t="n"/>
      <c r="AQ275" s="2794" t="n"/>
      <c r="AR275" s="2792">
        <f>SUM(AR299,AR323)</f>
        <v/>
      </c>
      <c r="AS275" s="2794" t="n"/>
      <c r="AT275" s="2793" t="n"/>
      <c r="AU275" s="2794" t="n"/>
      <c r="AV275" s="2792">
        <f>SUM(AV299,AV323)</f>
        <v/>
      </c>
      <c r="AW275" s="2794" t="n"/>
      <c r="AX275" s="2793" t="n"/>
      <c r="AY275" s="2794" t="n"/>
      <c r="AZ275" s="2792">
        <f>SUM(C275:AW275)</f>
        <v/>
      </c>
      <c r="BA275" s="2794" t="n"/>
      <c r="BB275" s="2852" t="n"/>
    </row>
    <row r="276" spans="1:55">
      <c r="A276" s="2876" t="s">
        <v>161</v>
      </c>
      <c r="B276" s="2877" t="n"/>
      <c r="C276" s="2876" t="n"/>
      <c r="D276" s="2876">
        <f>SUM(D300,D324)</f>
        <v/>
      </c>
      <c r="E276" s="2876" t="n"/>
      <c r="F276" s="2877" t="n"/>
      <c r="G276" s="2876" t="n"/>
      <c r="H276" s="2876">
        <f>SUM(H300,H324)</f>
        <v/>
      </c>
      <c r="I276" s="2876" t="n"/>
      <c r="J276" s="2877" t="n"/>
      <c r="K276" s="2876" t="n"/>
      <c r="L276" s="2876">
        <f>SUM(L300,L324)</f>
        <v/>
      </c>
      <c r="M276" s="2876" t="n"/>
      <c r="N276" s="2873" t="n"/>
      <c r="O276" s="2876" t="n"/>
      <c r="P276" s="2876">
        <f>SUM(P300,P324)</f>
        <v/>
      </c>
      <c r="Q276" s="2876" t="n"/>
      <c r="R276" s="2877" t="n"/>
      <c r="S276" s="2876" t="n"/>
      <c r="T276" s="2876">
        <f>SUM(T300,T324)</f>
        <v/>
      </c>
      <c r="U276" s="2876" t="n"/>
      <c r="V276" s="2873" t="n"/>
      <c r="W276" s="2876" t="n"/>
      <c r="X276" s="2876">
        <f>SUM(X300,X324)</f>
        <v/>
      </c>
      <c r="Y276" s="2876" t="n"/>
      <c r="Z276" s="2873" t="n"/>
      <c r="AA276" s="2876" t="n"/>
      <c r="AB276" s="2876">
        <f>SUM(AB300,AB324)</f>
        <v/>
      </c>
      <c r="AC276" s="2876" t="n"/>
      <c r="AD276" s="2873" t="n"/>
      <c r="AE276" s="2876" t="n"/>
      <c r="AF276" s="2876">
        <f>SUM(AF300,AF324)</f>
        <v/>
      </c>
      <c r="AG276" s="2876" t="n"/>
      <c r="AH276" s="2873" t="n"/>
      <c r="AI276" s="2876" t="n"/>
      <c r="AJ276" s="2876">
        <f>SUM(AJ300,AJ324)</f>
        <v/>
      </c>
      <c r="AK276" s="2876" t="n"/>
      <c r="AL276" s="2877" t="n"/>
      <c r="AM276" s="2876" t="n"/>
      <c r="AN276" s="2876">
        <f>SUM(AN300,AN324)</f>
        <v/>
      </c>
      <c r="AO276" s="2876" t="n"/>
      <c r="AP276" s="2877" t="n"/>
      <c r="AQ276" s="2876" t="n"/>
      <c r="AR276" s="2876">
        <f>SUM(AR300,AR324)</f>
        <v/>
      </c>
      <c r="AS276" s="2876" t="n"/>
      <c r="AT276" s="2877" t="n"/>
      <c r="AU276" s="2876" t="n"/>
      <c r="AV276" s="2876">
        <f>SUM(AV300,AV324)</f>
        <v/>
      </c>
      <c r="AW276" s="2876" t="n"/>
      <c r="AX276" s="2877" t="n"/>
      <c r="AY276" s="2876" t="n"/>
      <c r="AZ276" s="2876">
        <f>SUM(C276:AW276)</f>
        <v/>
      </c>
      <c r="BA276" s="2876" t="n"/>
      <c r="BB276" s="2852" t="n"/>
    </row>
    <row r="277" spans="1:55">
      <c r="A277" s="2879" t="s">
        <v>367</v>
      </c>
      <c r="B277" s="2877" t="n"/>
      <c r="C277" s="2878" t="n"/>
      <c r="D277" s="2876">
        <f>SUM(D301,D325)</f>
        <v/>
      </c>
      <c r="E277" s="2876" t="n"/>
      <c r="F277" s="2877" t="n"/>
      <c r="G277" s="2876" t="n"/>
      <c r="H277" s="2876">
        <f>SUM(H301,H325)</f>
        <v/>
      </c>
      <c r="I277" s="2876" t="n"/>
      <c r="J277" s="2877" t="n"/>
      <c r="K277" s="2876" t="n"/>
      <c r="L277" s="2876">
        <f>SUM(L301,L325)</f>
        <v/>
      </c>
      <c r="M277" s="2876" t="n"/>
      <c r="N277" s="2873" t="n"/>
      <c r="O277" s="2876" t="n"/>
      <c r="P277" s="2876">
        <f>SUM(P301,P325)</f>
        <v/>
      </c>
      <c r="Q277" s="2876" t="n"/>
      <c r="R277" s="2877" t="n"/>
      <c r="S277" s="2876" t="n"/>
      <c r="T277" s="2876">
        <f>SUM(T301,T325)</f>
        <v/>
      </c>
      <c r="U277" s="2876" t="n"/>
      <c r="V277" s="2873" t="n"/>
      <c r="W277" s="2876" t="n"/>
      <c r="X277" s="2876">
        <f>SUM(X301,X325)</f>
        <v/>
      </c>
      <c r="Y277" s="2876" t="n"/>
      <c r="Z277" s="2873" t="n"/>
      <c r="AA277" s="2876" t="n"/>
      <c r="AB277" s="2876">
        <f>SUM(AB301,AB325)</f>
        <v/>
      </c>
      <c r="AC277" s="2876" t="n"/>
      <c r="AD277" s="2873" t="n"/>
      <c r="AE277" s="2876" t="n"/>
      <c r="AF277" s="2876">
        <f>SUM(AF301,AF325)</f>
        <v/>
      </c>
      <c r="AG277" s="2876" t="n"/>
      <c r="AH277" s="2873" t="n"/>
      <c r="AI277" s="2876" t="n"/>
      <c r="AJ277" s="2876">
        <f>SUM(AJ301,AJ325)</f>
        <v/>
      </c>
      <c r="AK277" s="2876" t="n"/>
      <c r="AL277" s="2877" t="n"/>
      <c r="AM277" s="2876" t="n"/>
      <c r="AN277" s="2876">
        <f>SUM(AN301,AN325)</f>
        <v/>
      </c>
      <c r="AO277" s="2876" t="n"/>
      <c r="AP277" s="2877" t="n"/>
      <c r="AQ277" s="2876" t="n"/>
      <c r="AR277" s="2876">
        <f>SUM(AR301,AR325)</f>
        <v/>
      </c>
      <c r="AS277" s="2876" t="n"/>
      <c r="AT277" s="2877" t="n"/>
      <c r="AU277" s="2876" t="n"/>
      <c r="AV277" s="2876">
        <f>SUM(AV301,AV325)</f>
        <v/>
      </c>
      <c r="AW277" s="2878" t="n"/>
      <c r="AX277" s="2877" t="n"/>
      <c r="AY277" s="2878" t="n"/>
      <c r="AZ277" s="2876">
        <f>SUM(C277:AW277)</f>
        <v/>
      </c>
      <c r="BA277" s="2878" t="n"/>
      <c r="BB277" s="2852" t="n"/>
    </row>
    <row r="278" spans="1:55">
      <c r="A278" s="2880" t="s">
        <v>232</v>
      </c>
      <c r="B278" s="2877" t="n"/>
      <c r="C278" s="2876" t="n"/>
      <c r="D278" s="2876">
        <f>SUM(D302,D326)</f>
        <v/>
      </c>
      <c r="E278" s="2876" t="n"/>
      <c r="F278" s="2877" t="n"/>
      <c r="G278" s="2876" t="n"/>
      <c r="H278" s="2876">
        <f>SUM(H302,H326)</f>
        <v/>
      </c>
      <c r="I278" s="2876" t="n"/>
      <c r="J278" s="2877" t="n"/>
      <c r="K278" s="2876" t="n"/>
      <c r="L278" s="2876">
        <f>SUM(L302,L326)</f>
        <v/>
      </c>
      <c r="M278" s="2876" t="n"/>
      <c r="N278" s="2873" t="n"/>
      <c r="O278" s="2876" t="n"/>
      <c r="P278" s="2876">
        <f>SUM(P302,P326)</f>
        <v/>
      </c>
      <c r="Q278" s="2876" t="n"/>
      <c r="R278" s="2877" t="n"/>
      <c r="S278" s="2876" t="n"/>
      <c r="T278" s="2876">
        <f>SUM(T302,T326)</f>
        <v/>
      </c>
      <c r="U278" s="2876" t="n"/>
      <c r="V278" s="2873" t="n"/>
      <c r="W278" s="2876" t="n"/>
      <c r="X278" s="2876">
        <f>SUM(X302,X326)</f>
        <v/>
      </c>
      <c r="Y278" s="2876" t="n"/>
      <c r="Z278" s="2873" t="n"/>
      <c r="AA278" s="2876" t="n"/>
      <c r="AB278" s="2876">
        <f>SUM(AB302,AB326)</f>
        <v/>
      </c>
      <c r="AC278" s="2876" t="n"/>
      <c r="AD278" s="2873" t="n"/>
      <c r="AE278" s="2876" t="n"/>
      <c r="AF278" s="2876">
        <f>SUM(AF302,AF326)</f>
        <v/>
      </c>
      <c r="AG278" s="2876" t="n"/>
      <c r="AH278" s="2873" t="n"/>
      <c r="AI278" s="2876" t="n"/>
      <c r="AJ278" s="2876">
        <f>SUM(AJ302,AJ326)</f>
        <v/>
      </c>
      <c r="AK278" s="2876" t="n"/>
      <c r="AL278" s="2877" t="n"/>
      <c r="AM278" s="2876" t="n"/>
      <c r="AN278" s="2876">
        <f>SUM(AN302,AN326)</f>
        <v/>
      </c>
      <c r="AO278" s="2876" t="n"/>
      <c r="AP278" s="2877" t="n"/>
      <c r="AQ278" s="2876" t="n"/>
      <c r="AR278" s="2876">
        <f>SUM(AR302,AR326)</f>
        <v/>
      </c>
      <c r="AS278" s="2876" t="n"/>
      <c r="AT278" s="2877" t="n"/>
      <c r="AU278" s="2876" t="n"/>
      <c r="AV278" s="2876">
        <f>SUM(AV302,AV326)</f>
        <v/>
      </c>
      <c r="AW278" s="2876" t="n"/>
      <c r="AX278" s="2877" t="n"/>
      <c r="AY278" s="2876" t="n"/>
      <c r="AZ278" s="2876">
        <f>SUM(C278:AW278)</f>
        <v/>
      </c>
      <c r="BA278" s="2876" t="n"/>
      <c r="BB278" s="2852" t="n"/>
    </row>
    <row customFormat="1" r="279" s="2216" spans="1:55">
      <c r="A279" s="2881" t="s">
        <v>233</v>
      </c>
      <c r="B279" s="2877" t="n"/>
      <c r="C279" s="2882" t="n"/>
      <c r="D279" s="2876">
        <f>SUM(D303,D327)</f>
        <v/>
      </c>
      <c r="E279" s="2876" t="n"/>
      <c r="F279" s="2877" t="n"/>
      <c r="G279" s="2876" t="n"/>
      <c r="H279" s="2876">
        <f>SUM(H303,H327)</f>
        <v/>
      </c>
      <c r="I279" s="2876" t="n"/>
      <c r="J279" s="2877" t="n"/>
      <c r="K279" s="2876" t="n"/>
      <c r="L279" s="2876">
        <f>SUM(L303,L327)</f>
        <v/>
      </c>
      <c r="M279" s="2876" t="n"/>
      <c r="N279" s="2873" t="n"/>
      <c r="O279" s="2876" t="n"/>
      <c r="P279" s="2876">
        <f>SUM(P303,P327)</f>
        <v/>
      </c>
      <c r="Q279" s="2876" t="n"/>
      <c r="R279" s="2877" t="n"/>
      <c r="S279" s="2876" t="n"/>
      <c r="T279" s="2876">
        <f>SUM(T303,T327)</f>
        <v/>
      </c>
      <c r="U279" s="2876" t="n"/>
      <c r="V279" s="2873" t="n"/>
      <c r="W279" s="2876" t="n"/>
      <c r="X279" s="2876">
        <f>SUM(X303,X327)</f>
        <v/>
      </c>
      <c r="Y279" s="2876" t="n"/>
      <c r="Z279" s="2873" t="n"/>
      <c r="AA279" s="2876" t="n"/>
      <c r="AB279" s="2876">
        <f>SUM(AB303,AB327)</f>
        <v/>
      </c>
      <c r="AC279" s="2876" t="n"/>
      <c r="AD279" s="2873" t="n"/>
      <c r="AE279" s="2876" t="n"/>
      <c r="AF279" s="2876">
        <f>SUM(AF303,AF327)</f>
        <v/>
      </c>
      <c r="AG279" s="2876" t="n"/>
      <c r="AH279" s="2873" t="n"/>
      <c r="AI279" s="2876" t="n"/>
      <c r="AJ279" s="2876">
        <f>SUM(AJ303,AJ327)</f>
        <v/>
      </c>
      <c r="AK279" s="2876" t="n"/>
      <c r="AL279" s="2877" t="n"/>
      <c r="AM279" s="2876" t="n"/>
      <c r="AN279" s="2876">
        <f>SUM(AN303,AN327)</f>
        <v/>
      </c>
      <c r="AO279" s="2876" t="n"/>
      <c r="AP279" s="2877" t="n"/>
      <c r="AQ279" s="2876" t="n"/>
      <c r="AR279" s="2876">
        <f>SUM(AR303,AR327)</f>
        <v/>
      </c>
      <c r="AS279" s="2876" t="n"/>
      <c r="AT279" s="2877" t="n"/>
      <c r="AU279" s="2876" t="n"/>
      <c r="AV279" s="2876">
        <f>SUM(AV303,AV327)</f>
        <v/>
      </c>
      <c r="AW279" s="2882" t="n"/>
      <c r="AX279" s="2877" t="n"/>
      <c r="AY279" s="2882" t="n"/>
      <c r="AZ279" s="2876">
        <f>SUM(C279:AW279)</f>
        <v/>
      </c>
      <c r="BA279" s="2882" t="n"/>
      <c r="BB279" s="2852" t="n"/>
    </row>
    <row customFormat="1" r="280" s="2216" spans="1:55">
      <c r="A280" s="2881" t="s">
        <v>368</v>
      </c>
      <c r="B280" s="2877" t="n"/>
      <c r="C280" s="2882" t="n"/>
      <c r="D280" s="2876">
        <f>SUM(D304,D328)</f>
        <v/>
      </c>
      <c r="E280" s="2876" t="n"/>
      <c r="F280" s="2877" t="n"/>
      <c r="G280" s="2876" t="n"/>
      <c r="H280" s="2876">
        <f>SUM(H304,H328)</f>
        <v/>
      </c>
      <c r="I280" s="2876" t="n"/>
      <c r="J280" s="2877" t="n"/>
      <c r="K280" s="2876" t="n"/>
      <c r="L280" s="2876">
        <f>SUM(L304,L328)</f>
        <v/>
      </c>
      <c r="M280" s="2876" t="n"/>
      <c r="N280" s="2873" t="n"/>
      <c r="O280" s="2876" t="n"/>
      <c r="P280" s="2876">
        <f>SUM(P304,P328)</f>
        <v/>
      </c>
      <c r="Q280" s="2876" t="n"/>
      <c r="R280" s="2877" t="n"/>
      <c r="S280" s="2876" t="n"/>
      <c r="T280" s="2876">
        <f>SUM(T304,T328)</f>
        <v/>
      </c>
      <c r="U280" s="2876" t="n"/>
      <c r="V280" s="2873" t="n"/>
      <c r="W280" s="2876" t="n"/>
      <c r="X280" s="2876">
        <f>SUM(X304,X328)</f>
        <v/>
      </c>
      <c r="Y280" s="2876" t="n"/>
      <c r="Z280" s="2873" t="n"/>
      <c r="AA280" s="2876" t="n"/>
      <c r="AB280" s="2876">
        <f>SUM(AB304,AB328)</f>
        <v/>
      </c>
      <c r="AC280" s="2876" t="n"/>
      <c r="AD280" s="2873" t="n"/>
      <c r="AE280" s="2876" t="n"/>
      <c r="AF280" s="2876">
        <f>SUM(AF304,AF328)</f>
        <v/>
      </c>
      <c r="AG280" s="2876" t="n"/>
      <c r="AH280" s="2873" t="n"/>
      <c r="AI280" s="2876" t="n"/>
      <c r="AJ280" s="2876">
        <f>SUM(AJ304,AJ328)</f>
        <v/>
      </c>
      <c r="AK280" s="2876" t="n"/>
      <c r="AL280" s="2877" t="n"/>
      <c r="AM280" s="2876" t="n"/>
      <c r="AN280" s="2876">
        <f>SUM(AN304,AN328)</f>
        <v/>
      </c>
      <c r="AO280" s="2876" t="n"/>
      <c r="AP280" s="2877" t="n"/>
      <c r="AQ280" s="2876" t="n"/>
      <c r="AR280" s="2876">
        <f>SUM(AR304,AR328)</f>
        <v/>
      </c>
      <c r="AS280" s="2876" t="n"/>
      <c r="AT280" s="2877" t="n"/>
      <c r="AU280" s="2876" t="n"/>
      <c r="AV280" s="2876">
        <f>SUM(AV304,AV328)</f>
        <v/>
      </c>
      <c r="AW280" s="2882" t="n"/>
      <c r="AX280" s="2877" t="n"/>
      <c r="AY280" s="2882" t="n"/>
      <c r="AZ280" s="2876">
        <f>SUM(C280:AW280)</f>
        <v/>
      </c>
      <c r="BA280" s="2882" t="n"/>
      <c r="BB280" s="2852" t="n"/>
    </row>
    <row r="281" spans="1:55">
      <c r="A281" s="2880" t="s">
        <v>369</v>
      </c>
      <c r="B281" s="2877" t="n"/>
      <c r="C281" s="2876" t="n"/>
      <c r="D281" s="2876">
        <f>SUM(D305,D329)</f>
        <v/>
      </c>
      <c r="E281" s="2876" t="n"/>
      <c r="F281" s="2877" t="n"/>
      <c r="G281" s="2876" t="n"/>
      <c r="H281" s="2876">
        <f>SUM(H305,H329)</f>
        <v/>
      </c>
      <c r="I281" s="2876" t="n"/>
      <c r="J281" s="2877" t="n"/>
      <c r="K281" s="2876" t="n"/>
      <c r="L281" s="2876">
        <f>SUM(L305,L329)</f>
        <v/>
      </c>
      <c r="M281" s="2876" t="n"/>
      <c r="N281" s="2873" t="n"/>
      <c r="O281" s="2876" t="n"/>
      <c r="P281" s="2876">
        <f>SUM(P305,P329)</f>
        <v/>
      </c>
      <c r="Q281" s="2876" t="n"/>
      <c r="R281" s="2877" t="n"/>
      <c r="S281" s="2876" t="n"/>
      <c r="T281" s="2876">
        <f>SUM(T305,T329)</f>
        <v/>
      </c>
      <c r="U281" s="2876" t="n"/>
      <c r="V281" s="2873" t="n"/>
      <c r="W281" s="2876" t="n"/>
      <c r="X281" s="2876">
        <f>SUM(X305,X329)</f>
        <v/>
      </c>
      <c r="Y281" s="2876" t="n"/>
      <c r="Z281" s="2873" t="n"/>
      <c r="AA281" s="2876" t="n"/>
      <c r="AB281" s="2876">
        <f>SUM(AB305,AB329)</f>
        <v/>
      </c>
      <c r="AC281" s="2876" t="n"/>
      <c r="AD281" s="2873" t="n"/>
      <c r="AE281" s="2876" t="n"/>
      <c r="AF281" s="2876">
        <f>SUM(AF305,AF329)</f>
        <v/>
      </c>
      <c r="AG281" s="2876" t="n"/>
      <c r="AH281" s="2873" t="n"/>
      <c r="AI281" s="2876" t="n"/>
      <c r="AJ281" s="2876">
        <f>SUM(AJ305,AJ329)</f>
        <v/>
      </c>
      <c r="AK281" s="2876" t="n"/>
      <c r="AL281" s="2877" t="n"/>
      <c r="AM281" s="2876" t="n"/>
      <c r="AN281" s="2876">
        <f>SUM(AN305,AN329)</f>
        <v/>
      </c>
      <c r="AO281" s="2876" t="n"/>
      <c r="AP281" s="2877" t="n"/>
      <c r="AQ281" s="2876" t="n"/>
      <c r="AR281" s="2876">
        <f>SUM(AR305,AR329)</f>
        <v/>
      </c>
      <c r="AS281" s="2876" t="n"/>
      <c r="AT281" s="2877" t="n"/>
      <c r="AU281" s="2876" t="n"/>
      <c r="AV281" s="2876">
        <f>SUM(AV305,AV329)</f>
        <v/>
      </c>
      <c r="AW281" s="2876" t="n"/>
      <c r="AX281" s="2877" t="n"/>
      <c r="AY281" s="2876" t="n"/>
      <c r="AZ281" s="2876">
        <f>SUM(C281:AW281)</f>
        <v/>
      </c>
      <c r="BA281" s="2876" t="n"/>
      <c r="BB281" s="2852" t="n"/>
    </row>
    <row r="282" spans="1:55">
      <c r="A282" s="2879" t="s">
        <v>370</v>
      </c>
      <c r="B282" s="2877" t="n"/>
      <c r="C282" s="2878" t="n"/>
      <c r="D282" s="2876">
        <f>SUM(D306,D330)</f>
        <v/>
      </c>
      <c r="E282" s="2878" t="n"/>
      <c r="F282" s="2877" t="n"/>
      <c r="G282" s="2878" t="n"/>
      <c r="H282" s="2876">
        <f>SUM(H306,H330)</f>
        <v/>
      </c>
      <c r="I282" s="2878" t="n"/>
      <c r="J282" s="2877" t="n"/>
      <c r="K282" s="2878" t="n"/>
      <c r="L282" s="2876">
        <f>SUM(L306,L330)</f>
        <v/>
      </c>
      <c r="M282" s="2878" t="n"/>
      <c r="N282" s="2873" t="n"/>
      <c r="O282" s="2878" t="n"/>
      <c r="P282" s="2876">
        <f>SUM(P306,P330)</f>
        <v/>
      </c>
      <c r="Q282" s="2878" t="n"/>
      <c r="R282" s="2877" t="n"/>
      <c r="S282" s="2878" t="n"/>
      <c r="T282" s="2876">
        <f>SUM(T306,T330)</f>
        <v/>
      </c>
      <c r="U282" s="2878" t="n"/>
      <c r="V282" s="2873" t="n"/>
      <c r="W282" s="2878" t="n"/>
      <c r="X282" s="2876">
        <f>SUM(X306,X330)</f>
        <v/>
      </c>
      <c r="Y282" s="2878" t="n"/>
      <c r="Z282" s="2873" t="n"/>
      <c r="AA282" s="2878" t="n"/>
      <c r="AB282" s="2876">
        <f>SUM(AB306,AB330)</f>
        <v/>
      </c>
      <c r="AC282" s="2878" t="n"/>
      <c r="AD282" s="2873" t="n"/>
      <c r="AE282" s="2878" t="n"/>
      <c r="AF282" s="2876">
        <f>SUM(AF306,AF330)</f>
        <v/>
      </c>
      <c r="AG282" s="2878" t="n"/>
      <c r="AH282" s="2873" t="n"/>
      <c r="AI282" s="2878" t="n"/>
      <c r="AJ282" s="2876">
        <f>SUM(AJ306,AJ330)</f>
        <v/>
      </c>
      <c r="AK282" s="2878" t="n"/>
      <c r="AL282" s="2877" t="n"/>
      <c r="AM282" s="2878" t="n"/>
      <c r="AN282" s="2876">
        <f>SUM(AN306,AN330)</f>
        <v/>
      </c>
      <c r="AO282" s="2878" t="n"/>
      <c r="AP282" s="2877" t="n"/>
      <c r="AQ282" s="2878" t="n"/>
      <c r="AR282" s="2876">
        <f>SUM(AR306,AR330)</f>
        <v/>
      </c>
      <c r="AS282" s="2878" t="n"/>
      <c r="AT282" s="2877" t="n"/>
      <c r="AU282" s="2878" t="n"/>
      <c r="AV282" s="2876">
        <f>SUM(AV306,AV330)</f>
        <v/>
      </c>
      <c r="AW282" s="2878" t="n"/>
      <c r="AX282" s="2877" t="n"/>
      <c r="AY282" s="2878" t="n"/>
      <c r="AZ282" s="2876">
        <f>SUM(C282:AW282)</f>
        <v/>
      </c>
      <c r="BA282" s="2878" t="n"/>
      <c r="BB282" s="2852" t="n"/>
    </row>
    <row r="283" spans="1:55">
      <c r="A283" s="2879" t="s">
        <v>371</v>
      </c>
      <c r="B283" s="2877" t="n"/>
      <c r="C283" s="2878" t="n"/>
      <c r="D283" s="2876">
        <f>SUM(D307,D331)</f>
        <v/>
      </c>
      <c r="E283" s="2878" t="n"/>
      <c r="F283" s="2877" t="n"/>
      <c r="G283" s="2878" t="n"/>
      <c r="H283" s="2876">
        <f>SUM(H307,H331)</f>
        <v/>
      </c>
      <c r="I283" s="2878" t="n"/>
      <c r="J283" s="2877" t="n"/>
      <c r="K283" s="2878" t="n"/>
      <c r="L283" s="2876">
        <f>SUM(L307,L331)</f>
        <v/>
      </c>
      <c r="M283" s="2878" t="n"/>
      <c r="N283" s="2873" t="n"/>
      <c r="O283" s="2878" t="n"/>
      <c r="P283" s="2876">
        <f>SUM(P307,P331)</f>
        <v/>
      </c>
      <c r="Q283" s="2878" t="n"/>
      <c r="R283" s="2877" t="n"/>
      <c r="S283" s="2878" t="n"/>
      <c r="T283" s="2876">
        <f>SUM(T307,T331)</f>
        <v/>
      </c>
      <c r="U283" s="2878" t="n"/>
      <c r="V283" s="2873" t="n"/>
      <c r="W283" s="2878" t="n"/>
      <c r="X283" s="2876">
        <f>SUM(X307,X331)</f>
        <v/>
      </c>
      <c r="Y283" s="2878" t="n"/>
      <c r="Z283" s="2873" t="n"/>
      <c r="AA283" s="2878" t="n"/>
      <c r="AB283" s="2876">
        <f>SUM(AB307,AB331)</f>
        <v/>
      </c>
      <c r="AC283" s="2878" t="n"/>
      <c r="AD283" s="2873" t="n"/>
      <c r="AE283" s="2878" t="n"/>
      <c r="AF283" s="2876">
        <f>SUM(AF307,AF331)</f>
        <v/>
      </c>
      <c r="AG283" s="2878" t="n"/>
      <c r="AH283" s="2873" t="n"/>
      <c r="AI283" s="2878" t="n"/>
      <c r="AJ283" s="2876">
        <f>SUM(AJ307,AJ331)</f>
        <v/>
      </c>
      <c r="AK283" s="2878" t="n"/>
      <c r="AL283" s="2877" t="n"/>
      <c r="AM283" s="2878" t="n"/>
      <c r="AN283" s="2876">
        <f>SUM(AN307,AN331)</f>
        <v/>
      </c>
      <c r="AO283" s="2878" t="n"/>
      <c r="AP283" s="2877" t="n"/>
      <c r="AQ283" s="2878" t="n"/>
      <c r="AR283" s="2876">
        <f>SUM(AR307,AR331)</f>
        <v/>
      </c>
      <c r="AS283" s="2878" t="n"/>
      <c r="AT283" s="2877" t="n"/>
      <c r="AU283" s="2878" t="n"/>
      <c r="AV283" s="2876">
        <f>SUM(AV307,AV331)</f>
        <v/>
      </c>
      <c r="AW283" s="2878" t="n"/>
      <c r="AX283" s="2877" t="n"/>
      <c r="AY283" s="2878" t="n"/>
      <c r="AZ283" s="2876">
        <f>SUM(C283:AW283)</f>
        <v/>
      </c>
      <c r="BA283" s="2878" t="n"/>
      <c r="BB283" s="2852" t="n"/>
    </row>
    <row r="284" spans="1:55">
      <c r="A284" s="2879" t="s">
        <v>372</v>
      </c>
      <c r="B284" s="2877" t="n"/>
      <c r="C284" s="2878" t="n"/>
      <c r="D284" s="2876">
        <f>SUM(D308,D332)</f>
        <v/>
      </c>
      <c r="E284" s="2878" t="n"/>
      <c r="F284" s="2877" t="n"/>
      <c r="G284" s="2878" t="n"/>
      <c r="H284" s="2876">
        <f>SUM(H308,H332)</f>
        <v/>
      </c>
      <c r="I284" s="2878" t="n"/>
      <c r="J284" s="2877" t="n"/>
      <c r="K284" s="2878" t="n"/>
      <c r="L284" s="2876">
        <f>SUM(L308,L332)</f>
        <v/>
      </c>
      <c r="M284" s="2878" t="n"/>
      <c r="N284" s="2873" t="n"/>
      <c r="O284" s="2878" t="n"/>
      <c r="P284" s="2876">
        <f>SUM(P308,P332)</f>
        <v/>
      </c>
      <c r="Q284" s="2878" t="n"/>
      <c r="R284" s="2877" t="n"/>
      <c r="S284" s="2878" t="n"/>
      <c r="T284" s="2876">
        <f>SUM(T308,T332)</f>
        <v/>
      </c>
      <c r="U284" s="2878" t="n"/>
      <c r="V284" s="2873" t="n"/>
      <c r="W284" s="2878" t="n"/>
      <c r="X284" s="2876">
        <f>SUM(X308,X332)</f>
        <v/>
      </c>
      <c r="Y284" s="2878" t="n"/>
      <c r="Z284" s="2873" t="n"/>
      <c r="AA284" s="2878" t="n"/>
      <c r="AB284" s="2876">
        <f>SUM(AB308,AB332)</f>
        <v/>
      </c>
      <c r="AC284" s="2878" t="n"/>
      <c r="AD284" s="2873" t="n"/>
      <c r="AE284" s="2878" t="n"/>
      <c r="AF284" s="2876">
        <f>SUM(AF308,AF332)</f>
        <v/>
      </c>
      <c r="AG284" s="2878" t="n"/>
      <c r="AH284" s="2873" t="n"/>
      <c r="AI284" s="2878" t="n"/>
      <c r="AJ284" s="2876">
        <f>SUM(AJ308,AJ332)</f>
        <v/>
      </c>
      <c r="AK284" s="2878" t="n"/>
      <c r="AL284" s="2877" t="n"/>
      <c r="AM284" s="2878" t="n"/>
      <c r="AN284" s="2876">
        <f>SUM(AN308,AN332)</f>
        <v/>
      </c>
      <c r="AO284" s="2878" t="n"/>
      <c r="AP284" s="2877" t="n"/>
      <c r="AQ284" s="2878" t="n"/>
      <c r="AR284" s="2876">
        <f>SUM(AR308,AR332)</f>
        <v/>
      </c>
      <c r="AS284" s="2878" t="n"/>
      <c r="AT284" s="2877" t="n"/>
      <c r="AU284" s="2878" t="n"/>
      <c r="AV284" s="2876">
        <f>SUM(AV308,AV332)</f>
        <v/>
      </c>
      <c r="AW284" s="2878" t="n"/>
      <c r="AX284" s="2877" t="n"/>
      <c r="AY284" s="2878" t="n"/>
      <c r="AZ284" s="2876">
        <f>SUM(C284:AW284)</f>
        <v/>
      </c>
      <c r="BA284" s="2878" t="n"/>
      <c r="BB284" s="2852" t="n"/>
    </row>
    <row r="285" spans="1:55">
      <c r="A285" s="2880" t="s">
        <v>89</v>
      </c>
      <c r="B285" s="2877" t="n"/>
      <c r="C285" s="2876">
        <f>SUM(C309,C333)</f>
        <v/>
      </c>
      <c r="D285" s="2876" t="n"/>
      <c r="E285" s="2876" t="n"/>
      <c r="F285" s="2877" t="n"/>
      <c r="G285" s="2876">
        <f>SUM(G309,G333)</f>
        <v/>
      </c>
      <c r="H285" s="2876" t="n"/>
      <c r="I285" s="2876" t="n"/>
      <c r="J285" s="2877" t="n"/>
      <c r="K285" s="2876">
        <f>SUM(K309,K333)</f>
        <v/>
      </c>
      <c r="L285" s="2876" t="n"/>
      <c r="M285" s="2876" t="n"/>
      <c r="N285" s="2873" t="n"/>
      <c r="O285" s="2876">
        <f>SUM(O309,O333)</f>
        <v/>
      </c>
      <c r="P285" s="2876" t="n"/>
      <c r="Q285" s="2876" t="n"/>
      <c r="R285" s="2877" t="n"/>
      <c r="S285" s="2876">
        <f>SUM(S309,S333)</f>
        <v/>
      </c>
      <c r="T285" s="2876" t="n"/>
      <c r="U285" s="2876" t="n"/>
      <c r="V285" s="2873" t="n"/>
      <c r="W285" s="2876">
        <f>SUM(W309,W333)</f>
        <v/>
      </c>
      <c r="X285" s="2876" t="n"/>
      <c r="Y285" s="2876" t="n"/>
      <c r="Z285" s="2873" t="n"/>
      <c r="AA285" s="2876">
        <f>SUM(AA309,AA333)</f>
        <v/>
      </c>
      <c r="AB285" s="2876" t="n"/>
      <c r="AC285" s="2876" t="n"/>
      <c r="AD285" s="2873" t="n"/>
      <c r="AE285" s="2876">
        <f>SUM(AE309,AE333)</f>
        <v/>
      </c>
      <c r="AF285" s="2876" t="n"/>
      <c r="AG285" s="2876" t="n"/>
      <c r="AH285" s="2873" t="n"/>
      <c r="AI285" s="2876">
        <f>SUM(AI309,AI333)</f>
        <v/>
      </c>
      <c r="AJ285" s="2876" t="n"/>
      <c r="AK285" s="2876" t="n"/>
      <c r="AL285" s="2877" t="n"/>
      <c r="AM285" s="2876">
        <f>SUM(AM309,AM333)</f>
        <v/>
      </c>
      <c r="AN285" s="2876" t="n"/>
      <c r="AO285" s="2876" t="n"/>
      <c r="AP285" s="2877" t="n"/>
      <c r="AQ285" s="2876">
        <f>SUM(AQ309,AQ333)</f>
        <v/>
      </c>
      <c r="AR285" s="2876" t="n"/>
      <c r="AS285" s="2876" t="n"/>
      <c r="AT285" s="2877" t="n"/>
      <c r="AU285" s="2876">
        <f>SUM(AU309,AU333)</f>
        <v/>
      </c>
      <c r="AV285" s="2876" t="n"/>
      <c r="AW285" s="2876" t="n"/>
      <c r="AX285" s="2877" t="n"/>
      <c r="AY285" s="2876">
        <f>SUM(B285:AV285)</f>
        <v/>
      </c>
      <c r="AZ285" s="2876" t="n"/>
      <c r="BA285" s="2876" t="n"/>
    </row>
    <row r="286" spans="1:55">
      <c r="A286" s="2880" t="s">
        <v>153</v>
      </c>
      <c r="B286" s="2877" t="n"/>
      <c r="C286" s="2876" t="n"/>
      <c r="D286" s="2876" t="n"/>
      <c r="E286" s="2876">
        <f>SUM(C268:C286)-SUM(D268:D286)</f>
        <v/>
      </c>
      <c r="F286" s="2877" t="n"/>
      <c r="G286" s="2876" t="n"/>
      <c r="H286" s="2876" t="n"/>
      <c r="I286" s="2876">
        <f>SUM(G268:G286)-SUM(H268:H286)</f>
        <v/>
      </c>
      <c r="J286" s="2877" t="n"/>
      <c r="K286" s="2876" t="n"/>
      <c r="L286" s="2876" t="n"/>
      <c r="M286" s="2876">
        <f>SUM(K268:K286)-SUM(L268:L286)</f>
        <v/>
      </c>
      <c r="N286" s="2873" t="n"/>
      <c r="O286" s="2876" t="n"/>
      <c r="P286" s="2876" t="n"/>
      <c r="Q286" s="2876">
        <f>SUM(O268:O286)-SUM(P268:P286)</f>
        <v/>
      </c>
      <c r="R286" s="2877" t="n"/>
      <c r="S286" s="2876" t="n"/>
      <c r="T286" s="2876" t="n"/>
      <c r="U286" s="2876">
        <f>SUM(S268:S286)-SUM(T268:T286)</f>
        <v/>
      </c>
      <c r="V286" s="2873" t="n"/>
      <c r="W286" s="2876" t="n"/>
      <c r="X286" s="2876" t="n"/>
      <c r="Y286" s="2876">
        <f>SUM(W268:W286)-SUM(X268:X286)</f>
        <v/>
      </c>
      <c r="Z286" s="2873" t="n"/>
      <c r="AA286" s="2876" t="n"/>
      <c r="AB286" s="2876" t="n"/>
      <c r="AC286" s="2876">
        <f>SUM(AA268:AA286)-SUM(AB268:AB286)</f>
        <v/>
      </c>
      <c r="AD286" s="2873" t="n"/>
      <c r="AE286" s="2876" t="n"/>
      <c r="AF286" s="2876" t="n"/>
      <c r="AG286" s="2876">
        <f>SUM(AE268:AE286)-SUM(AF268:AF286)</f>
        <v/>
      </c>
      <c r="AH286" s="2873" t="n"/>
      <c r="AI286" s="2876" t="n"/>
      <c r="AJ286" s="2876" t="n"/>
      <c r="AK286" s="2876">
        <f>SUM(AI268:AI286)-SUM(AJ268:AJ286)</f>
        <v/>
      </c>
      <c r="AL286" s="2877" t="n"/>
      <c r="AM286" s="2876" t="n"/>
      <c r="AN286" s="2876" t="n"/>
      <c r="AO286" s="2876">
        <f>SUM(AM268:AM286)-SUM(AN268:AN286)</f>
        <v/>
      </c>
      <c r="AP286" s="2877" t="n"/>
      <c r="AQ286" s="2876" t="n"/>
      <c r="AR286" s="2876" t="n"/>
      <c r="AS286" s="2876">
        <f>SUM(AQ268:AQ286)-SUM(AR268:AR286)</f>
        <v/>
      </c>
      <c r="AT286" s="2877" t="n"/>
      <c r="AU286" s="2876" t="n"/>
      <c r="AV286" s="2876" t="n"/>
      <c r="AW286" s="2876">
        <f>SUM(AU268:AU286)-SUM(AV268:AV286)</f>
        <v/>
      </c>
      <c r="AX286" s="2877" t="n"/>
      <c r="AY286" s="2876" t="n"/>
      <c r="AZ286" s="2876" t="n"/>
      <c r="BA286" s="2876">
        <f>SUM(D286:AY286)</f>
        <v/>
      </c>
    </row>
    <row customFormat="1" r="287" s="2802" spans="1:55">
      <c r="A287" s="2883" t="s">
        <v>173</v>
      </c>
      <c r="B287" s="2884" t="n"/>
      <c r="C287" s="2885">
        <f>SUM(C268:C286)</f>
        <v/>
      </c>
      <c r="D287" s="2885">
        <f>SUM(D268:D286)</f>
        <v/>
      </c>
      <c r="E287" s="2885">
        <f>SUM(E286:E286)</f>
        <v/>
      </c>
      <c r="F287" s="2884" t="n"/>
      <c r="G287" s="2885">
        <f>SUM(G268:G286)</f>
        <v/>
      </c>
      <c r="H287" s="2885">
        <f>SUM(H268:H286)</f>
        <v/>
      </c>
      <c r="I287" s="2885">
        <f>SUM(I286:I286)</f>
        <v/>
      </c>
      <c r="J287" s="2884" t="n"/>
      <c r="K287" s="2885">
        <f>SUM(K268:K286)</f>
        <v/>
      </c>
      <c r="L287" s="2885">
        <f>SUM(L268:L286)</f>
        <v/>
      </c>
      <c r="M287" s="2885">
        <f>SUM(M286:M286)</f>
        <v/>
      </c>
      <c r="N287" s="2886" t="n"/>
      <c r="O287" s="2885">
        <f>SUM(O268:O286)</f>
        <v/>
      </c>
      <c r="P287" s="2885">
        <f>SUM(P268:P286)</f>
        <v/>
      </c>
      <c r="Q287" s="2885">
        <f>SUM(Q286:Q286)</f>
        <v/>
      </c>
      <c r="R287" s="2884" t="n"/>
      <c r="S287" s="2885">
        <f>SUM(S268:S286)</f>
        <v/>
      </c>
      <c r="T287" s="2885">
        <f>SUM(T268:T286)</f>
        <v/>
      </c>
      <c r="U287" s="2885">
        <f>SUM(U286:U286)</f>
        <v/>
      </c>
      <c r="V287" s="2886" t="n"/>
      <c r="W287" s="2885">
        <f>SUM(W268:W286)</f>
        <v/>
      </c>
      <c r="X287" s="2885">
        <f>SUM(X268:X286)</f>
        <v/>
      </c>
      <c r="Y287" s="2885">
        <f>SUM(Y286:Y286)</f>
        <v/>
      </c>
      <c r="Z287" s="2886" t="n"/>
      <c r="AA287" s="2885">
        <f>SUM(AA268:AA286)</f>
        <v/>
      </c>
      <c r="AB287" s="2885">
        <f>SUM(AB268:AB286)</f>
        <v/>
      </c>
      <c r="AC287" s="2885">
        <f>SUM(AC286:AC286)</f>
        <v/>
      </c>
      <c r="AD287" s="2886" t="n"/>
      <c r="AE287" s="2885">
        <f>SUM(AE268:AE286)</f>
        <v/>
      </c>
      <c r="AF287" s="2885">
        <f>SUM(AF268:AF286)</f>
        <v/>
      </c>
      <c r="AG287" s="2885">
        <f>SUM(AG286:AG286)</f>
        <v/>
      </c>
      <c r="AH287" s="2886" t="n"/>
      <c r="AI287" s="2885">
        <f>SUM(AI268:AI286)</f>
        <v/>
      </c>
      <c r="AJ287" s="2885">
        <f>SUM(AJ268:AJ286)</f>
        <v/>
      </c>
      <c r="AK287" s="2885">
        <f>SUM(AK286:AK286)</f>
        <v/>
      </c>
      <c r="AL287" s="2884" t="n"/>
      <c r="AM287" s="2885">
        <f>SUM(AM268:AM286)</f>
        <v/>
      </c>
      <c r="AN287" s="2885">
        <f>SUM(AN268:AN286)</f>
        <v/>
      </c>
      <c r="AO287" s="2885">
        <f>SUM(AO286:AO286)</f>
        <v/>
      </c>
      <c r="AP287" s="2884" t="n"/>
      <c r="AQ287" s="2885">
        <f>SUM(AQ268:AQ286)</f>
        <v/>
      </c>
      <c r="AR287" s="2885">
        <f>SUM(AR268:AR286)</f>
        <v/>
      </c>
      <c r="AS287" s="2885">
        <f>SUM(AS286:AS286)</f>
        <v/>
      </c>
      <c r="AT287" s="2884" t="n"/>
      <c r="AU287" s="2885">
        <f>SUM(AU268:AU286)</f>
        <v/>
      </c>
      <c r="AV287" s="2885">
        <f>SUM(AV268:AV286)</f>
        <v/>
      </c>
      <c r="AW287" s="2885">
        <f>SUM(AW286:AW286)</f>
        <v/>
      </c>
      <c r="AX287" s="2884" t="n"/>
      <c r="AY287" s="2883">
        <f>SUM(AY268:AY286)</f>
        <v/>
      </c>
      <c r="AZ287" s="2883">
        <f>SUM(AZ268:AZ286)</f>
        <v/>
      </c>
      <c r="BA287" s="2883">
        <f>SUM(BA286:BA286)</f>
        <v/>
      </c>
    </row>
    <row customFormat="1" r="288" s="2808" spans="1:55">
      <c r="A288" s="2883" t="s">
        <v>386</v>
      </c>
      <c r="B288" s="2884" t="n"/>
      <c r="C288" s="2885" t="n"/>
      <c r="D288" s="2885" t="n"/>
      <c r="E288" s="2887">
        <f>E287/C287</f>
        <v/>
      </c>
      <c r="F288" s="2884" t="n"/>
      <c r="G288" s="2885" t="n"/>
      <c r="H288" s="2885" t="n"/>
      <c r="I288" s="2887">
        <f>I287/G287</f>
        <v/>
      </c>
      <c r="J288" s="2884" t="n"/>
      <c r="K288" s="2885" t="n"/>
      <c r="L288" s="2885" t="n"/>
      <c r="M288" s="2887">
        <f>M287/K287</f>
        <v/>
      </c>
      <c r="N288" s="2888" t="n"/>
      <c r="O288" s="2885" t="n"/>
      <c r="P288" s="2885" t="n"/>
      <c r="Q288" s="2887">
        <f>Q287/O287</f>
        <v/>
      </c>
      <c r="R288" s="2884" t="n"/>
      <c r="S288" s="2885" t="n"/>
      <c r="T288" s="2885" t="n"/>
      <c r="U288" s="2887">
        <f>U287/S287</f>
        <v/>
      </c>
      <c r="V288" s="2888" t="n"/>
      <c r="W288" s="2885" t="n"/>
      <c r="X288" s="2885" t="n"/>
      <c r="Y288" s="2887">
        <f>Y287/W287</f>
        <v/>
      </c>
      <c r="Z288" s="2888" t="n"/>
      <c r="AA288" s="2885" t="n"/>
      <c r="AB288" s="2885" t="n"/>
      <c r="AC288" s="2887">
        <f>AC287/AA287</f>
        <v/>
      </c>
      <c r="AD288" s="2888" t="n"/>
      <c r="AE288" s="2885" t="n"/>
      <c r="AF288" s="2885" t="n"/>
      <c r="AG288" s="2887">
        <f>AG287/AE287</f>
        <v/>
      </c>
      <c r="AH288" s="2888" t="n"/>
      <c r="AI288" s="2885" t="n"/>
      <c r="AJ288" s="2885" t="n"/>
      <c r="AK288" s="2887">
        <f>AK287/AI287</f>
        <v/>
      </c>
      <c r="AL288" s="2884" t="n"/>
      <c r="AM288" s="2885" t="n"/>
      <c r="AN288" s="2885" t="n"/>
      <c r="AO288" s="2887">
        <f>AO287/AM287</f>
        <v/>
      </c>
      <c r="AP288" s="2884" t="n"/>
      <c r="AQ288" s="2885" t="n"/>
      <c r="AR288" s="2885" t="n"/>
      <c r="AS288" s="2887">
        <f>AS287/AQ287</f>
        <v/>
      </c>
      <c r="AT288" s="2884" t="n"/>
      <c r="AU288" s="2885" t="n"/>
      <c r="AV288" s="2885" t="n"/>
      <c r="AW288" s="2887">
        <f>AW287/AU287</f>
        <v/>
      </c>
      <c r="AX288" s="2884" t="n"/>
      <c r="AY288" s="2883" t="n"/>
      <c r="AZ288" s="2883" t="n"/>
      <c r="BA288" s="2887">
        <f>BA287/AY287</f>
        <v/>
      </c>
    </row>
    <row outlineLevel="1" r="289" s="1843" spans="1:55"/>
    <row customFormat="1" outlineLevel="1" r="290" s="2216" spans="1:55">
      <c r="A290" s="2889" t="s">
        <v>387</v>
      </c>
      <c r="B290" s="2890" t="n"/>
      <c r="C290" s="2891" t="s">
        <v>62</v>
      </c>
      <c r="F290" s="2890" t="n"/>
      <c r="G290" s="2891" t="s">
        <v>63</v>
      </c>
      <c r="J290" s="2890" t="n"/>
      <c r="K290" s="2891" t="s">
        <v>64</v>
      </c>
      <c r="N290" s="2892" t="n"/>
      <c r="O290" s="2891" t="s">
        <v>174</v>
      </c>
      <c r="R290" s="2890" t="n"/>
      <c r="S290" s="2891" t="s">
        <v>66</v>
      </c>
      <c r="V290" s="2892" t="n"/>
      <c r="W290" s="2891" t="s">
        <v>67</v>
      </c>
      <c r="Z290" s="2892" t="n"/>
      <c r="AA290" s="2891" t="s">
        <v>69</v>
      </c>
      <c r="AD290" s="2892" t="n"/>
      <c r="AE290" s="2891" t="s">
        <v>70</v>
      </c>
      <c r="AH290" s="2892" t="n"/>
      <c r="AI290" s="2891" t="s">
        <v>71</v>
      </c>
      <c r="AL290" s="2890" t="n"/>
      <c r="AM290" s="2891" t="s">
        <v>72</v>
      </c>
      <c r="AP290" s="2890" t="n"/>
      <c r="AQ290" s="2891" t="s">
        <v>73</v>
      </c>
      <c r="AT290" s="2890" t="n"/>
      <c r="AU290" s="2891" t="s">
        <v>74</v>
      </c>
      <c r="AX290" s="2890" t="n"/>
      <c r="AY290" s="2891" t="s">
        <v>173</v>
      </c>
    </row>
    <row outlineLevel="1" r="291" s="1843" spans="1:55">
      <c r="A291" s="2893" t="n"/>
      <c r="B291" s="2893" t="n"/>
      <c r="C291" s="2893" t="s">
        <v>89</v>
      </c>
      <c r="D291" s="2893" t="s">
        <v>152</v>
      </c>
      <c r="E291" s="2893" t="s">
        <v>153</v>
      </c>
      <c r="F291" s="2893" t="n"/>
      <c r="G291" s="2893" t="s">
        <v>89</v>
      </c>
      <c r="H291" s="2893" t="s">
        <v>152</v>
      </c>
      <c r="I291" s="2893" t="s">
        <v>153</v>
      </c>
      <c r="J291" s="2893" t="n"/>
      <c r="K291" s="2893" t="s">
        <v>89</v>
      </c>
      <c r="L291" s="2893" t="s">
        <v>152</v>
      </c>
      <c r="M291" s="2893" t="s">
        <v>153</v>
      </c>
      <c r="N291" s="2892" t="n"/>
      <c r="O291" s="2893" t="s">
        <v>89</v>
      </c>
      <c r="P291" s="2893" t="s">
        <v>152</v>
      </c>
      <c r="Q291" s="2893" t="s">
        <v>153</v>
      </c>
      <c r="R291" s="2893" t="n"/>
      <c r="S291" s="2893" t="s">
        <v>89</v>
      </c>
      <c r="T291" s="2893" t="s">
        <v>152</v>
      </c>
      <c r="U291" s="2893" t="s">
        <v>153</v>
      </c>
      <c r="V291" s="2892" t="n"/>
      <c r="W291" s="2893" t="s">
        <v>89</v>
      </c>
      <c r="X291" s="2893" t="s">
        <v>152</v>
      </c>
      <c r="Y291" s="2893" t="s">
        <v>153</v>
      </c>
      <c r="Z291" s="2892" t="n"/>
      <c r="AA291" s="2893" t="s">
        <v>89</v>
      </c>
      <c r="AB291" s="2893" t="s">
        <v>152</v>
      </c>
      <c r="AC291" s="2893" t="s">
        <v>153</v>
      </c>
      <c r="AD291" s="2892" t="n"/>
      <c r="AE291" s="2893" t="s">
        <v>89</v>
      </c>
      <c r="AF291" s="2893" t="s">
        <v>152</v>
      </c>
      <c r="AG291" s="2893" t="s">
        <v>153</v>
      </c>
      <c r="AH291" s="2892" t="n"/>
      <c r="AI291" s="2893" t="s">
        <v>89</v>
      </c>
      <c r="AJ291" s="2893" t="s">
        <v>152</v>
      </c>
      <c r="AK291" s="2893" t="s">
        <v>153</v>
      </c>
      <c r="AL291" s="2893" t="n"/>
      <c r="AM291" s="2893" t="s">
        <v>89</v>
      </c>
      <c r="AN291" s="2893" t="s">
        <v>152</v>
      </c>
      <c r="AO291" s="2893" t="s">
        <v>153</v>
      </c>
      <c r="AP291" s="2893" t="n"/>
      <c r="AQ291" s="2893" t="s">
        <v>89</v>
      </c>
      <c r="AR291" s="2893" t="s">
        <v>152</v>
      </c>
      <c r="AS291" s="2893" t="s">
        <v>153</v>
      </c>
      <c r="AT291" s="2893" t="n"/>
      <c r="AU291" s="2893" t="s">
        <v>89</v>
      </c>
      <c r="AV291" s="2893" t="s">
        <v>152</v>
      </c>
      <c r="AW291" s="2893" t="s">
        <v>153</v>
      </c>
      <c r="AX291" s="2893" t="n"/>
      <c r="AY291" s="2893" t="s">
        <v>89</v>
      </c>
      <c r="AZ291" s="2893" t="s">
        <v>152</v>
      </c>
      <c r="BA291" s="2893" t="s">
        <v>153</v>
      </c>
    </row>
    <row outlineLevel="1" r="292" s="1843" spans="1:55">
      <c r="A292" s="2894" t="s">
        <v>187</v>
      </c>
      <c r="B292" s="2895" t="n"/>
      <c r="C292" s="2894" t="n"/>
      <c r="D292" s="2894">
        <f>' SET Cost(staf+OS)'!D381/1000</f>
        <v/>
      </c>
      <c r="E292" s="2894" t="n"/>
      <c r="F292" s="2895" t="n"/>
      <c r="G292" s="2894" t="n"/>
      <c r="H292" s="2894">
        <f>' SET Cost(staf+OS)'!E381/1000</f>
        <v/>
      </c>
      <c r="I292" s="2894" t="n"/>
      <c r="J292" s="2895" t="n"/>
      <c r="K292" s="2894" t="n"/>
      <c r="L292" s="2894">
        <f>' SET Cost(staf+OS)'!F381/1000</f>
        <v/>
      </c>
      <c r="M292" s="2894" t="n"/>
      <c r="N292" s="2892" t="n"/>
      <c r="O292" s="2894" t="n"/>
      <c r="P292" s="2894">
        <f>' SET Cost(staf+OS)'!G381/1000</f>
        <v/>
      </c>
      <c r="Q292" s="2894" t="n"/>
      <c r="R292" s="2895" t="n"/>
      <c r="S292" s="2894" t="n"/>
      <c r="T292" s="2894">
        <f>' SET Cost(staf+OS)'!H381/1000</f>
        <v/>
      </c>
      <c r="U292" s="2894" t="n"/>
      <c r="V292" s="2892" t="n"/>
      <c r="W292" s="2894" t="n"/>
      <c r="X292" s="2894">
        <f>' SET Cost(staf+OS)'!I381/1000</f>
        <v/>
      </c>
      <c r="Y292" s="2894" t="n"/>
      <c r="Z292" s="2892" t="n"/>
      <c r="AA292" s="2894" t="n"/>
      <c r="AB292" s="2894">
        <f>' SET Cost(staf+OS)'!J381/1000</f>
        <v/>
      </c>
      <c r="AC292" s="2894" t="n"/>
      <c r="AD292" s="2892" t="n"/>
      <c r="AE292" s="2894" t="n"/>
      <c r="AF292" s="2894">
        <f>' SET Cost(staf+OS)'!K381/1000</f>
        <v/>
      </c>
      <c r="AG292" s="2894" t="n"/>
      <c r="AH292" s="2892" t="n"/>
      <c r="AI292" s="2894" t="n"/>
      <c r="AJ292" s="2894">
        <f>' SET Cost(staf+OS)'!L381/1000</f>
        <v/>
      </c>
      <c r="AK292" s="2894" t="n"/>
      <c r="AL292" s="2895" t="n"/>
      <c r="AM292" s="2894" t="n"/>
      <c r="AN292" s="2894">
        <f>' SET Cost(staf+OS)'!M381/1000</f>
        <v/>
      </c>
      <c r="AO292" s="2894" t="n"/>
      <c r="AP292" s="2895" t="n"/>
      <c r="AQ292" s="2894" t="n"/>
      <c r="AR292" s="2894">
        <f>' SET Cost(staf+OS)'!N381/1000</f>
        <v/>
      </c>
      <c r="AS292" s="2894" t="n"/>
      <c r="AT292" s="2895" t="n"/>
      <c r="AU292" s="2894" t="n"/>
      <c r="AV292" s="2894">
        <f>' SET Cost(staf+OS)'!O381/1000</f>
        <v/>
      </c>
      <c r="AW292" s="2894" t="n"/>
      <c r="AX292" s="2895" t="n"/>
      <c r="AY292" s="2894" t="n"/>
      <c r="AZ292" s="2894">
        <f>SUM(C292:AW292)</f>
        <v/>
      </c>
      <c r="BA292" s="2894" t="n"/>
      <c r="BB292" s="2852" t="n"/>
    </row>
    <row outlineLevel="1" r="293" s="1843" spans="1:55">
      <c r="A293" s="2896" t="s">
        <v>189</v>
      </c>
      <c r="B293" s="2897" t="n"/>
      <c r="C293" s="2896" t="n"/>
      <c r="D293" s="2894">
        <f>' SET Cost(staf+OS)'!D382/1000</f>
        <v/>
      </c>
      <c r="E293" s="2896" t="n"/>
      <c r="F293" s="2897" t="n"/>
      <c r="G293" s="2896" t="n"/>
      <c r="H293" s="2894">
        <f>' SET Cost(staf+OS)'!E382/1000</f>
        <v/>
      </c>
      <c r="I293" s="2896" t="n"/>
      <c r="J293" s="2897" t="n"/>
      <c r="K293" s="2896" t="n"/>
      <c r="L293" s="2894">
        <f>' SET Cost(staf+OS)'!F382/1000</f>
        <v/>
      </c>
      <c r="M293" s="2896" t="n"/>
      <c r="N293" s="2898" t="n"/>
      <c r="O293" s="2896" t="n"/>
      <c r="P293" s="2894">
        <f>' SET Cost(staf+OS)'!G382/1000</f>
        <v/>
      </c>
      <c r="Q293" s="2896" t="n"/>
      <c r="R293" s="2897" t="n"/>
      <c r="S293" s="2896" t="n"/>
      <c r="T293" s="2894">
        <f>' SET Cost(staf+OS)'!H382/1000</f>
        <v/>
      </c>
      <c r="U293" s="2896" t="n"/>
      <c r="V293" s="2898" t="n"/>
      <c r="W293" s="2896" t="n"/>
      <c r="X293" s="2894">
        <f>' SET Cost(staf+OS)'!I382/1000</f>
        <v/>
      </c>
      <c r="Y293" s="2896" t="n"/>
      <c r="Z293" s="2898" t="n"/>
      <c r="AA293" s="2896" t="n"/>
      <c r="AB293" s="2894">
        <f>' SET Cost(staf+OS)'!J382/1000</f>
        <v/>
      </c>
      <c r="AC293" s="2896" t="n"/>
      <c r="AD293" s="2898" t="n"/>
      <c r="AE293" s="2896" t="n"/>
      <c r="AF293" s="2894">
        <f>' SET Cost(staf+OS)'!K382/1000</f>
        <v/>
      </c>
      <c r="AG293" s="2896" t="n"/>
      <c r="AH293" s="2898" t="n"/>
      <c r="AI293" s="2896" t="n"/>
      <c r="AJ293" s="2894">
        <f>' SET Cost(staf+OS)'!L382/1000</f>
        <v/>
      </c>
      <c r="AK293" s="2896" t="n"/>
      <c r="AL293" s="2897" t="n"/>
      <c r="AM293" s="2896" t="n"/>
      <c r="AN293" s="2894">
        <f>' SET Cost(staf+OS)'!M382/1000</f>
        <v/>
      </c>
      <c r="AO293" s="2896" t="n"/>
      <c r="AP293" s="2897" t="n"/>
      <c r="AQ293" s="2896" t="n"/>
      <c r="AR293" s="2894">
        <f>' SET Cost(staf+OS)'!N382/1000</f>
        <v/>
      </c>
      <c r="AS293" s="2896" t="n"/>
      <c r="AT293" s="2897" t="n"/>
      <c r="AU293" s="2896" t="n"/>
      <c r="AV293" s="2894">
        <f>' SET Cost(staf+OS)'!O382/1000</f>
        <v/>
      </c>
      <c r="AW293" s="2896" t="n"/>
      <c r="AX293" s="2897" t="n"/>
      <c r="AY293" s="2896" t="n"/>
      <c r="AZ293" s="2896">
        <f>SUM(C293:AW293)</f>
        <v/>
      </c>
      <c r="BA293" s="2896" t="n"/>
      <c r="BB293" s="2852" t="n"/>
    </row>
    <row outlineLevel="1" r="294" s="1843" spans="1:55">
      <c r="A294" s="2899" t="s">
        <v>252</v>
      </c>
      <c r="B294" s="2897" t="n"/>
      <c r="C294" s="2900" t="n"/>
      <c r="D294" s="2894">
        <f>' SET Cost(staf+OS)'!D383/1000</f>
        <v/>
      </c>
      <c r="E294" s="2900" t="n"/>
      <c r="F294" s="2897" t="n"/>
      <c r="G294" s="2900" t="n"/>
      <c r="H294" s="2894">
        <f>' SET Cost(staf+OS)'!E383/1000</f>
        <v/>
      </c>
      <c r="I294" s="2900" t="n"/>
      <c r="J294" s="2897" t="n"/>
      <c r="K294" s="2900" t="n"/>
      <c r="L294" s="2894">
        <f>' SET Cost(staf+OS)'!F383/1000</f>
        <v/>
      </c>
      <c r="M294" s="2900" t="n"/>
      <c r="N294" s="2898" t="n"/>
      <c r="O294" s="2900" t="n"/>
      <c r="P294" s="2894">
        <f>' SET Cost(staf+OS)'!G383/1000</f>
        <v/>
      </c>
      <c r="Q294" s="2900" t="n"/>
      <c r="R294" s="2897" t="n"/>
      <c r="S294" s="2900" t="n"/>
      <c r="T294" s="2894">
        <f>' SET Cost(staf+OS)'!H383/1000</f>
        <v/>
      </c>
      <c r="U294" s="2900" t="n"/>
      <c r="V294" s="2898" t="n"/>
      <c r="W294" s="2900" t="n"/>
      <c r="X294" s="2894">
        <f>' SET Cost(staf+OS)'!I383/1000</f>
        <v/>
      </c>
      <c r="Y294" s="2900" t="n"/>
      <c r="Z294" s="2898" t="n"/>
      <c r="AA294" s="2900" t="n"/>
      <c r="AB294" s="2894">
        <f>' SET Cost(staf+OS)'!J383/1000</f>
        <v/>
      </c>
      <c r="AC294" s="2900" t="n"/>
      <c r="AD294" s="2898" t="n"/>
      <c r="AE294" s="2900" t="n"/>
      <c r="AF294" s="2894">
        <f>' SET Cost(staf+OS)'!K383/1000</f>
        <v/>
      </c>
      <c r="AG294" s="2900" t="n"/>
      <c r="AH294" s="2898" t="n"/>
      <c r="AI294" s="2900" t="n"/>
      <c r="AJ294" s="2894">
        <f>' SET Cost(staf+OS)'!L383/1000</f>
        <v/>
      </c>
      <c r="AK294" s="2900" t="n"/>
      <c r="AL294" s="2897" t="n"/>
      <c r="AM294" s="2900" t="n"/>
      <c r="AN294" s="2894">
        <f>' SET Cost(staf+OS)'!M383/1000</f>
        <v/>
      </c>
      <c r="AO294" s="2900" t="n"/>
      <c r="AP294" s="2897" t="n"/>
      <c r="AQ294" s="2900" t="n"/>
      <c r="AR294" s="2894">
        <f>' SET Cost(staf+OS)'!N383/1000</f>
        <v/>
      </c>
      <c r="AS294" s="2900" t="n"/>
      <c r="AT294" s="2897" t="n"/>
      <c r="AU294" s="2900" t="n"/>
      <c r="AV294" s="2894">
        <f>' SET Cost(staf+OS)'!O383/1000</f>
        <v/>
      </c>
      <c r="AW294" s="2900" t="n"/>
      <c r="AX294" s="2897" t="n"/>
      <c r="AY294" s="2900" t="n"/>
      <c r="AZ294" s="2899">
        <f>SUM(C294:AW294)</f>
        <v/>
      </c>
      <c r="BA294" s="2900" t="n"/>
      <c r="BB294" s="2852" t="n"/>
    </row>
    <row outlineLevel="1" r="295" s="1843" spans="1:55">
      <c r="A295" s="2899" t="s">
        <v>191</v>
      </c>
      <c r="B295" s="2897" t="n"/>
      <c r="C295" s="2900" t="n"/>
      <c r="D295" s="2894">
        <f>' SET Cost(staf+OS)'!D384/1000</f>
        <v/>
      </c>
      <c r="E295" s="2900" t="n"/>
      <c r="F295" s="2897" t="n"/>
      <c r="G295" s="2900" t="n"/>
      <c r="H295" s="2894">
        <f>' SET Cost(staf+OS)'!E384/1000</f>
        <v/>
      </c>
      <c r="I295" s="2900" t="n"/>
      <c r="J295" s="2897" t="n"/>
      <c r="K295" s="2900" t="n"/>
      <c r="L295" s="2894">
        <f>' SET Cost(staf+OS)'!F384/1000</f>
        <v/>
      </c>
      <c r="M295" s="2900" t="n"/>
      <c r="N295" s="2898" t="n"/>
      <c r="O295" s="2900" t="n"/>
      <c r="P295" s="2894">
        <f>' SET Cost(staf+OS)'!G384/1000</f>
        <v/>
      </c>
      <c r="Q295" s="2900" t="n"/>
      <c r="R295" s="2897" t="n"/>
      <c r="S295" s="2900" t="n"/>
      <c r="T295" s="2894">
        <f>' SET Cost(staf+OS)'!H384/1000</f>
        <v/>
      </c>
      <c r="U295" s="2900" t="n"/>
      <c r="V295" s="2898" t="n"/>
      <c r="W295" s="2900" t="n"/>
      <c r="X295" s="2894">
        <f>' SET Cost(staf+OS)'!I384/1000</f>
        <v/>
      </c>
      <c r="Y295" s="2900" t="n"/>
      <c r="Z295" s="2898" t="n"/>
      <c r="AA295" s="2900" t="n"/>
      <c r="AB295" s="2894">
        <f>' SET Cost(staf+OS)'!J384/1000</f>
        <v/>
      </c>
      <c r="AC295" s="2900" t="n"/>
      <c r="AD295" s="2898" t="n"/>
      <c r="AE295" s="2900" t="n"/>
      <c r="AF295" s="2894">
        <f>' SET Cost(staf+OS)'!K384/1000</f>
        <v/>
      </c>
      <c r="AG295" s="2900" t="n"/>
      <c r="AH295" s="2898" t="n"/>
      <c r="AI295" s="2900" t="n"/>
      <c r="AJ295" s="2894">
        <f>' SET Cost(staf+OS)'!L384/1000</f>
        <v/>
      </c>
      <c r="AK295" s="2900" t="n"/>
      <c r="AL295" s="2897" t="n"/>
      <c r="AM295" s="2900" t="n"/>
      <c r="AN295" s="2894">
        <f>' SET Cost(staf+OS)'!M384/1000</f>
        <v/>
      </c>
      <c r="AO295" s="2900" t="n"/>
      <c r="AP295" s="2897" t="n"/>
      <c r="AQ295" s="2900" t="n"/>
      <c r="AR295" s="2894">
        <f>' SET Cost(staf+OS)'!N384/1000</f>
        <v/>
      </c>
      <c r="AS295" s="2900" t="n"/>
      <c r="AT295" s="2897" t="n"/>
      <c r="AU295" s="2900" t="n"/>
      <c r="AV295" s="2894">
        <f>' SET Cost(staf+OS)'!O384/1000</f>
        <v/>
      </c>
      <c r="AW295" s="2900" t="n"/>
      <c r="AX295" s="2897" t="n"/>
      <c r="AY295" s="2900" t="n"/>
      <c r="AZ295" s="2899">
        <f>SUM(C295:AW295)</f>
        <v/>
      </c>
      <c r="BA295" s="2900" t="n"/>
      <c r="BB295" s="2852" t="n"/>
    </row>
    <row outlineLevel="1" r="296" s="1843" spans="1:55">
      <c r="A296" s="2899" t="s">
        <v>192</v>
      </c>
      <c r="B296" s="2897" t="n"/>
      <c r="C296" s="2900" t="n"/>
      <c r="D296" s="2894">
        <f>' SET Cost(staf+OS)'!D385/1000</f>
        <v/>
      </c>
      <c r="E296" s="2900" t="n"/>
      <c r="F296" s="2897" t="n"/>
      <c r="G296" s="2900" t="n"/>
      <c r="H296" s="2894">
        <f>' SET Cost(staf+OS)'!E385/1000</f>
        <v/>
      </c>
      <c r="I296" s="2900" t="n"/>
      <c r="J296" s="2897" t="n"/>
      <c r="K296" s="2900" t="n"/>
      <c r="L296" s="2894">
        <f>' SET Cost(staf+OS)'!F385/1000</f>
        <v/>
      </c>
      <c r="M296" s="2900" t="n"/>
      <c r="N296" s="2898" t="n"/>
      <c r="O296" s="2900" t="n"/>
      <c r="P296" s="2894">
        <f>' SET Cost(staf+OS)'!G385/1000</f>
        <v/>
      </c>
      <c r="Q296" s="2900" t="n"/>
      <c r="R296" s="2897" t="n"/>
      <c r="S296" s="2900" t="n"/>
      <c r="T296" s="2894">
        <f>' SET Cost(staf+OS)'!H385/1000</f>
        <v/>
      </c>
      <c r="U296" s="2900" t="n"/>
      <c r="V296" s="2898" t="n"/>
      <c r="W296" s="2900" t="n"/>
      <c r="X296" s="2894">
        <f>' SET Cost(staf+OS)'!I385/1000</f>
        <v/>
      </c>
      <c r="Y296" s="2900" t="n"/>
      <c r="Z296" s="2898" t="n"/>
      <c r="AA296" s="2900" t="n"/>
      <c r="AB296" s="2894">
        <f>' SET Cost(staf+OS)'!J385/1000</f>
        <v/>
      </c>
      <c r="AC296" s="2900" t="n"/>
      <c r="AD296" s="2898" t="n"/>
      <c r="AE296" s="2900" t="n"/>
      <c r="AF296" s="2894">
        <f>' SET Cost(staf+OS)'!K385/1000</f>
        <v/>
      </c>
      <c r="AG296" s="2900" t="n"/>
      <c r="AH296" s="2898" t="n"/>
      <c r="AI296" s="2900" t="n"/>
      <c r="AJ296" s="2894">
        <f>' SET Cost(staf+OS)'!L385/1000</f>
        <v/>
      </c>
      <c r="AK296" s="2900" t="n"/>
      <c r="AL296" s="2897" t="n"/>
      <c r="AM296" s="2900" t="n"/>
      <c r="AN296" s="2894">
        <f>' SET Cost(staf+OS)'!M385/1000</f>
        <v/>
      </c>
      <c r="AO296" s="2900" t="n"/>
      <c r="AP296" s="2897" t="n"/>
      <c r="AQ296" s="2900" t="n"/>
      <c r="AR296" s="2894">
        <f>' SET Cost(staf+OS)'!N385/1000</f>
        <v/>
      </c>
      <c r="AS296" s="2900" t="n"/>
      <c r="AT296" s="2897" t="n"/>
      <c r="AU296" s="2900" t="n"/>
      <c r="AV296" s="2894">
        <f>' SET Cost(staf+OS)'!O385/1000</f>
        <v/>
      </c>
      <c r="AW296" s="2900" t="n"/>
      <c r="AX296" s="2897" t="n"/>
      <c r="AY296" s="2900" t="n"/>
      <c r="AZ296" s="2899">
        <f>SUM(C296:AW296)</f>
        <v/>
      </c>
      <c r="BA296" s="2900" t="n"/>
      <c r="BB296" s="2852" t="n"/>
    </row>
    <row outlineLevel="1" r="297" s="1843" spans="1:55">
      <c r="A297" s="2899" t="s">
        <v>194</v>
      </c>
      <c r="B297" s="2897" t="n"/>
      <c r="C297" s="2900" t="n"/>
      <c r="D297" s="2900">
        <f>' SET Cost(staf+OS)'!D386/1000+'OS&amp;Travel Exp'!C57/1000</f>
        <v/>
      </c>
      <c r="E297" s="2900" t="n"/>
      <c r="F297" s="2900" t="n"/>
      <c r="G297" s="2900" t="n"/>
      <c r="H297" s="2900">
        <f>' SET Cost(staf+OS)'!E386/1000+'OS&amp;Travel Exp'!D57/1000</f>
        <v/>
      </c>
      <c r="I297" s="2900" t="n"/>
      <c r="J297" s="2900" t="n"/>
      <c r="K297" s="2900" t="n"/>
      <c r="L297" s="2900">
        <f>' SET Cost(staf+OS)'!F386/1000+'OS&amp;Travel Exp'!E57/1000</f>
        <v/>
      </c>
      <c r="M297" s="2900" t="n"/>
      <c r="N297" s="2799" t="n"/>
      <c r="O297" s="2900" t="n"/>
      <c r="P297" s="2900">
        <f>' SET Cost(staf+OS)'!G386/1000+'OS&amp;Travel Exp'!F57/1000</f>
        <v/>
      </c>
      <c r="Q297" s="2900" t="n"/>
      <c r="R297" s="2900" t="n"/>
      <c r="S297" s="2900" t="n"/>
      <c r="T297" s="2900">
        <f>' SET Cost(staf+OS)'!H386/1000+'OS&amp;Travel Exp'!G57/1000</f>
        <v/>
      </c>
      <c r="U297" s="2900" t="n"/>
      <c r="V297" s="2900" t="n"/>
      <c r="W297" s="2900" t="n"/>
      <c r="X297" s="2900">
        <f>' SET Cost(staf+OS)'!I386/1000+'OS&amp;Travel Exp'!H57/1000</f>
        <v/>
      </c>
      <c r="Y297" s="2900" t="n"/>
      <c r="Z297" s="2900" t="n"/>
      <c r="AA297" s="2900" t="n"/>
      <c r="AB297" s="2900">
        <f>' SET Cost(staf+OS)'!J386/1000+'OS&amp;Travel Exp'!I57/1000</f>
        <v/>
      </c>
      <c r="AC297" s="2900" t="n"/>
      <c r="AD297" s="2900" t="n"/>
      <c r="AE297" s="2900" t="n"/>
      <c r="AF297" s="2900">
        <f>' SET Cost(staf+OS)'!K386/1000+'OS&amp;Travel Exp'!J57/1000</f>
        <v/>
      </c>
      <c r="AG297" s="2900" t="n"/>
      <c r="AH297" s="2900" t="n"/>
      <c r="AI297" s="2900" t="n"/>
      <c r="AJ297" s="2900">
        <f>' SET Cost(staf+OS)'!L386/1000+'OS&amp;Travel Exp'!K57/1000</f>
        <v/>
      </c>
      <c r="AK297" s="2900" t="n"/>
      <c r="AL297" s="2900" t="n"/>
      <c r="AM297" s="2900" t="n"/>
      <c r="AN297" s="2900">
        <f>' SET Cost(staf+OS)'!M386/1000+'OS&amp;Travel Exp'!L57/1000</f>
        <v/>
      </c>
      <c r="AO297" s="2900" t="n"/>
      <c r="AP297" s="2900" t="n"/>
      <c r="AQ297" s="2900" t="n"/>
      <c r="AR297" s="2900">
        <f>' SET Cost(staf+OS)'!N386/1000+'OS&amp;Travel Exp'!M57/1000</f>
        <v/>
      </c>
      <c r="AS297" s="2900" t="n"/>
      <c r="AT297" s="2900" t="n"/>
      <c r="AU297" s="2900" t="n"/>
      <c r="AV297" s="2900">
        <f>' SET Cost(staf+OS)'!O386/1000+'OS&amp;Travel Exp'!N57/1000</f>
        <v/>
      </c>
      <c r="AW297" s="2900" t="n"/>
      <c r="AX297" s="2897" t="n"/>
      <c r="AY297" s="2900" t="n"/>
      <c r="AZ297" s="2899">
        <f>SUM(C297:AW297)</f>
        <v/>
      </c>
      <c r="BA297" s="2900" t="n"/>
      <c r="BB297" s="2852" t="n"/>
    </row>
    <row outlineLevel="1" r="298" s="1843" spans="1:55">
      <c r="A298" s="2899" t="s">
        <v>195</v>
      </c>
      <c r="B298" s="2897" t="n"/>
      <c r="C298" s="2899" t="n"/>
      <c r="D298" s="2900">
        <f>' SET Cost(staf+OS)'!D387/1000+'OS&amp;Travel Exp'!C34/1000</f>
        <v/>
      </c>
      <c r="E298" s="2900" t="n"/>
      <c r="F298" s="2900" t="n"/>
      <c r="G298" s="2900" t="n"/>
      <c r="H298" s="2900">
        <f>' SET Cost(staf+OS)'!E387/1000+'OS&amp;Travel Exp'!D34/1000</f>
        <v/>
      </c>
      <c r="I298" s="2900" t="n"/>
      <c r="J298" s="2900" t="n"/>
      <c r="K298" s="2900" t="n"/>
      <c r="L298" s="2900">
        <f>' SET Cost(staf+OS)'!F387/1000+'OS&amp;Travel Exp'!E34/1000</f>
        <v/>
      </c>
      <c r="M298" s="2900" t="n"/>
      <c r="N298" s="2799" t="n"/>
      <c r="O298" s="2900" t="n"/>
      <c r="P298" s="2900">
        <f>' SET Cost(staf+OS)'!G387/1000+'OS&amp;Travel Exp'!F34/1000</f>
        <v/>
      </c>
      <c r="Q298" s="2900" t="n"/>
      <c r="R298" s="2900" t="n"/>
      <c r="S298" s="2900" t="n"/>
      <c r="T298" s="2900">
        <f>' SET Cost(staf+OS)'!H387/1000+'OS&amp;Travel Exp'!G34/1000</f>
        <v/>
      </c>
      <c r="U298" s="2900" t="n"/>
      <c r="V298" s="2900" t="n"/>
      <c r="W298" s="2900" t="n"/>
      <c r="X298" s="2900">
        <f>' SET Cost(staf+OS)'!I387/1000+'OS&amp;Travel Exp'!H34/1000</f>
        <v/>
      </c>
      <c r="Y298" s="2900" t="n"/>
      <c r="Z298" s="2900" t="n"/>
      <c r="AA298" s="2900" t="n"/>
      <c r="AB298" s="2900">
        <f>' SET Cost(staf+OS)'!J387/1000+'OS&amp;Travel Exp'!I34/1000</f>
        <v/>
      </c>
      <c r="AC298" s="2900" t="n"/>
      <c r="AD298" s="2900" t="n"/>
      <c r="AE298" s="2900" t="n"/>
      <c r="AF298" s="2900">
        <f>' SET Cost(staf+OS)'!K387/1000+'OS&amp;Travel Exp'!J34/1000</f>
        <v/>
      </c>
      <c r="AG298" s="2900" t="n"/>
      <c r="AH298" s="2900" t="n"/>
      <c r="AI298" s="2900" t="n"/>
      <c r="AJ298" s="2900">
        <f>' SET Cost(staf+OS)'!L387/1000+'OS&amp;Travel Exp'!K34/1000</f>
        <v/>
      </c>
      <c r="AK298" s="2900" t="n"/>
      <c r="AL298" s="2900" t="n"/>
      <c r="AM298" s="2900" t="n"/>
      <c r="AN298" s="2900">
        <f>' SET Cost(staf+OS)'!M387/1000+'OS&amp;Travel Exp'!L34/1000</f>
        <v/>
      </c>
      <c r="AO298" s="2900" t="n"/>
      <c r="AP298" s="2900" t="n"/>
      <c r="AQ298" s="2900" t="n"/>
      <c r="AR298" s="2900">
        <f>' SET Cost(staf+OS)'!N387/1000+'OS&amp;Travel Exp'!M34/1000</f>
        <v/>
      </c>
      <c r="AS298" s="2900" t="n"/>
      <c r="AT298" s="2900" t="n"/>
      <c r="AU298" s="2900" t="n"/>
      <c r="AV298" s="2900">
        <f>' SET Cost(staf+OS)'!O387/1000+'OS&amp;Travel Exp'!N34/1000</f>
        <v/>
      </c>
      <c r="AW298" s="2900" t="n"/>
      <c r="AX298" s="2897" t="n"/>
      <c r="AY298" s="2899" t="n"/>
      <c r="AZ298" s="2899">
        <f>SUM(C298:AW298)</f>
        <v/>
      </c>
      <c r="BA298" s="2899" t="n"/>
      <c r="BB298" s="2852" t="n"/>
    </row>
    <row outlineLevel="1" r="299" s="1843" spans="1:55">
      <c r="A299" s="2794" t="s">
        <v>366</v>
      </c>
      <c r="B299" s="2793" t="n"/>
      <c r="C299" s="2794" t="n"/>
      <c r="D299" s="2844">
        <f>'OS&amp;Travel Exp'!C9</f>
        <v/>
      </c>
      <c r="E299" s="2844" t="n"/>
      <c r="F299" s="2793" t="n"/>
      <c r="G299" s="2844" t="n"/>
      <c r="H299" s="2844">
        <f>'OS&amp;Travel Exp'!D9</f>
        <v/>
      </c>
      <c r="I299" s="2844" t="n"/>
      <c r="J299" s="2793" t="n"/>
      <c r="K299" s="2844" t="n"/>
      <c r="L299" s="2844">
        <f>'OS&amp;Travel Exp'!E9</f>
        <v/>
      </c>
      <c r="M299" s="2844" t="n"/>
      <c r="N299" s="2795" t="n"/>
      <c r="O299" s="2844" t="n"/>
      <c r="P299" s="2844">
        <f>'OS&amp;Travel Exp'!F9</f>
        <v/>
      </c>
      <c r="Q299" s="2844" t="n"/>
      <c r="R299" s="2793" t="n"/>
      <c r="S299" s="2844" t="n"/>
      <c r="T299" s="2844">
        <f>'OS&amp;Travel Exp'!G9</f>
        <v/>
      </c>
      <c r="U299" s="2844" t="n"/>
      <c r="V299" s="2795" t="n"/>
      <c r="W299" s="2844" t="n"/>
      <c r="X299" s="2844">
        <f>'OS&amp;Travel Exp'!H9</f>
        <v/>
      </c>
      <c r="Y299" s="2844" t="n"/>
      <c r="Z299" s="2795" t="n"/>
      <c r="AA299" s="2844" t="n"/>
      <c r="AB299" s="2844">
        <f>'OS&amp;Travel Exp'!I9</f>
        <v/>
      </c>
      <c r="AC299" s="2844" t="n"/>
      <c r="AD299" s="2795" t="n"/>
      <c r="AE299" s="2844" t="n"/>
      <c r="AF299" s="2844">
        <f>'OS&amp;Travel Exp'!J9</f>
        <v/>
      </c>
      <c r="AG299" s="2844" t="n"/>
      <c r="AH299" s="2795" t="n"/>
      <c r="AI299" s="2844" t="n"/>
      <c r="AJ299" s="2844">
        <f>'OS&amp;Travel Exp'!K9</f>
        <v/>
      </c>
      <c r="AK299" s="2844" t="n"/>
      <c r="AL299" s="2793" t="n"/>
      <c r="AM299" s="2844" t="n"/>
      <c r="AN299" s="2844">
        <f>'OS&amp;Travel Exp'!L9</f>
        <v/>
      </c>
      <c r="AO299" s="2844" t="n"/>
      <c r="AP299" s="2793" t="n"/>
      <c r="AQ299" s="2844" t="n"/>
      <c r="AR299" s="2844">
        <f>'OS&amp;Travel Exp'!M9</f>
        <v/>
      </c>
      <c r="AS299" s="2844" t="n"/>
      <c r="AT299" s="2793" t="n"/>
      <c r="AU299" s="2844" t="n"/>
      <c r="AV299" s="2844">
        <f>'OS&amp;Travel Exp'!N9</f>
        <v/>
      </c>
      <c r="AW299" s="2794" t="n"/>
      <c r="AX299" s="2793" t="n"/>
      <c r="AY299" s="2794" t="n"/>
      <c r="AZ299" s="2792">
        <f>SUM(C299:AW299)</f>
        <v/>
      </c>
      <c r="BA299" s="2794" t="n"/>
      <c r="BB299" s="2901" t="s">
        <v>388</v>
      </c>
    </row>
    <row outlineLevel="1" r="300" s="1843" spans="1:55">
      <c r="A300" s="2899" t="s">
        <v>161</v>
      </c>
      <c r="B300" s="2897" t="n"/>
      <c r="C300" s="2899" t="n"/>
      <c r="D300" s="2894">
        <f>' SET Cost(staf+OS)'!D389/1000</f>
        <v/>
      </c>
      <c r="E300" s="2899" t="n"/>
      <c r="F300" s="2897" t="n"/>
      <c r="G300" s="2899" t="n"/>
      <c r="H300" s="2894">
        <f>' SET Cost(staf+OS)'!E389/1000</f>
        <v/>
      </c>
      <c r="I300" s="2899" t="n"/>
      <c r="J300" s="2897" t="n"/>
      <c r="K300" s="2899" t="n"/>
      <c r="L300" s="2894">
        <f>' SET Cost(staf+OS)'!F389/1000</f>
        <v/>
      </c>
      <c r="M300" s="2899" t="n"/>
      <c r="N300" s="2898" t="n"/>
      <c r="O300" s="2899" t="n"/>
      <c r="P300" s="2894">
        <f>' SET Cost(staf+OS)'!G389/1000</f>
        <v/>
      </c>
      <c r="Q300" s="2899" t="n"/>
      <c r="R300" s="2897" t="n"/>
      <c r="S300" s="2899" t="n"/>
      <c r="T300" s="2894">
        <f>' SET Cost(staf+OS)'!H389/1000</f>
        <v/>
      </c>
      <c r="U300" s="2899" t="n"/>
      <c r="V300" s="2898" t="n"/>
      <c r="W300" s="2899" t="n"/>
      <c r="X300" s="2894">
        <f>' SET Cost(staf+OS)'!I389/1000</f>
        <v/>
      </c>
      <c r="Y300" s="2899" t="n"/>
      <c r="Z300" s="2898" t="n"/>
      <c r="AA300" s="2899" t="n"/>
      <c r="AB300" s="2894">
        <f>' SET Cost(staf+OS)'!J389/1000</f>
        <v/>
      </c>
      <c r="AC300" s="2899" t="n"/>
      <c r="AD300" s="2898" t="n"/>
      <c r="AE300" s="2899" t="n"/>
      <c r="AF300" s="2894">
        <f>' SET Cost(staf+OS)'!K389/1000</f>
        <v/>
      </c>
      <c r="AG300" s="2899" t="n"/>
      <c r="AH300" s="2898" t="n"/>
      <c r="AI300" s="2899" t="n"/>
      <c r="AJ300" s="2894">
        <f>' SET Cost(staf+OS)'!L389/1000</f>
        <v/>
      </c>
      <c r="AK300" s="2899" t="n"/>
      <c r="AL300" s="2897" t="n"/>
      <c r="AM300" s="2899" t="n"/>
      <c r="AN300" s="2894">
        <f>' SET Cost(staf+OS)'!M389/1000</f>
        <v/>
      </c>
      <c r="AO300" s="2899" t="n"/>
      <c r="AP300" s="2897" t="n"/>
      <c r="AQ300" s="2899" t="n"/>
      <c r="AR300" s="2894">
        <f>' SET Cost(staf+OS)'!N389/1000</f>
        <v/>
      </c>
      <c r="AS300" s="2899" t="n"/>
      <c r="AT300" s="2897" t="n"/>
      <c r="AU300" s="2899" t="n"/>
      <c r="AV300" s="2894">
        <f>' SET Cost(staf+OS)'!O389/1000</f>
        <v/>
      </c>
      <c r="AW300" s="2899" t="n"/>
      <c r="AX300" s="2897" t="n"/>
      <c r="AY300" s="2899" t="n"/>
      <c r="AZ300" s="2899">
        <f>SUM(C300:AW300)</f>
        <v/>
      </c>
      <c r="BA300" s="2899" t="n"/>
      <c r="BB300" s="2852" t="n"/>
    </row>
    <row outlineLevel="1" r="301" s="1843" spans="1:55">
      <c r="A301" s="2902" t="s">
        <v>367</v>
      </c>
      <c r="B301" s="2897" t="n"/>
      <c r="C301" s="2900" t="n"/>
      <c r="D301" s="2894">
        <f>' SET Cost(staf+OS)'!D390/1000</f>
        <v/>
      </c>
      <c r="E301" s="2899" t="n"/>
      <c r="F301" s="2897" t="n"/>
      <c r="G301" s="2899" t="n"/>
      <c r="H301" s="2894">
        <f>' SET Cost(staf+OS)'!E390/1000</f>
        <v/>
      </c>
      <c r="I301" s="2899" t="n"/>
      <c r="J301" s="2897" t="n"/>
      <c r="K301" s="2899" t="n"/>
      <c r="L301" s="2894">
        <f>' SET Cost(staf+OS)'!F390/1000</f>
        <v/>
      </c>
      <c r="M301" s="2899" t="n"/>
      <c r="N301" s="2898" t="n"/>
      <c r="O301" s="2899" t="n"/>
      <c r="P301" s="2894">
        <f>' SET Cost(staf+OS)'!G390/1000</f>
        <v/>
      </c>
      <c r="Q301" s="2899" t="n"/>
      <c r="R301" s="2897" t="n"/>
      <c r="S301" s="2899" t="n"/>
      <c r="T301" s="2894">
        <f>' SET Cost(staf+OS)'!H390/1000</f>
        <v/>
      </c>
      <c r="U301" s="2899" t="n"/>
      <c r="V301" s="2898" t="n"/>
      <c r="W301" s="2899" t="n"/>
      <c r="X301" s="2894">
        <f>' SET Cost(staf+OS)'!I390/1000</f>
        <v/>
      </c>
      <c r="Y301" s="2899" t="n"/>
      <c r="Z301" s="2898" t="n"/>
      <c r="AA301" s="2899" t="n"/>
      <c r="AB301" s="2894">
        <f>' SET Cost(staf+OS)'!J390/1000</f>
        <v/>
      </c>
      <c r="AC301" s="2899" t="n"/>
      <c r="AD301" s="2898" t="n"/>
      <c r="AE301" s="2899" t="n"/>
      <c r="AF301" s="2894">
        <f>' SET Cost(staf+OS)'!K390/1000</f>
        <v/>
      </c>
      <c r="AG301" s="2899" t="n"/>
      <c r="AH301" s="2898" t="n"/>
      <c r="AI301" s="2899" t="n"/>
      <c r="AJ301" s="2894">
        <f>' SET Cost(staf+OS)'!L390/1000</f>
        <v/>
      </c>
      <c r="AK301" s="2899" t="n"/>
      <c r="AL301" s="2897" t="n"/>
      <c r="AM301" s="2899" t="n"/>
      <c r="AN301" s="2894">
        <f>' SET Cost(staf+OS)'!M390/1000</f>
        <v/>
      </c>
      <c r="AO301" s="2899" t="n"/>
      <c r="AP301" s="2897" t="n"/>
      <c r="AQ301" s="2899" t="n"/>
      <c r="AR301" s="2894">
        <f>' SET Cost(staf+OS)'!N390/1000</f>
        <v/>
      </c>
      <c r="AS301" s="2899" t="n"/>
      <c r="AT301" s="2897" t="n"/>
      <c r="AU301" s="2899" t="n"/>
      <c r="AV301" s="2894">
        <f>' SET Cost(staf+OS)'!O390/1000</f>
        <v/>
      </c>
      <c r="AW301" s="2900" t="n"/>
      <c r="AX301" s="2897" t="n"/>
      <c r="AY301" s="2900" t="n"/>
      <c r="AZ301" s="2899">
        <f>SUM(C301:AW301)</f>
        <v/>
      </c>
      <c r="BA301" s="2900" t="n"/>
      <c r="BB301" s="2852" t="n"/>
    </row>
    <row outlineLevel="1" r="302" s="1843" spans="1:55">
      <c r="A302" s="2899" t="s">
        <v>232</v>
      </c>
      <c r="B302" s="2897" t="n"/>
      <c r="C302" s="2899" t="n"/>
      <c r="D302" s="2894">
        <f>' SET Cost(staf+OS)'!D391/1000</f>
        <v/>
      </c>
      <c r="E302" s="2899" t="n"/>
      <c r="F302" s="2897" t="n"/>
      <c r="G302" s="2899" t="n"/>
      <c r="H302" s="2894">
        <f>' SET Cost(staf+OS)'!E391/1000</f>
        <v/>
      </c>
      <c r="I302" s="2899" t="n"/>
      <c r="J302" s="2897" t="n"/>
      <c r="K302" s="2899" t="n"/>
      <c r="L302" s="2894">
        <f>' SET Cost(staf+OS)'!F391/1000</f>
        <v/>
      </c>
      <c r="M302" s="2899" t="n"/>
      <c r="N302" s="2898" t="n"/>
      <c r="O302" s="2899" t="n"/>
      <c r="P302" s="2894">
        <f>' SET Cost(staf+OS)'!G391/1000</f>
        <v/>
      </c>
      <c r="Q302" s="2899" t="n"/>
      <c r="R302" s="2897" t="n"/>
      <c r="S302" s="2899" t="n"/>
      <c r="T302" s="2894">
        <f>' SET Cost(staf+OS)'!H391/1000</f>
        <v/>
      </c>
      <c r="U302" s="2899" t="n"/>
      <c r="V302" s="2898" t="n"/>
      <c r="W302" s="2899" t="n"/>
      <c r="X302" s="2894">
        <f>' SET Cost(staf+OS)'!I391/1000</f>
        <v/>
      </c>
      <c r="Y302" s="2899" t="n"/>
      <c r="Z302" s="2898" t="n"/>
      <c r="AA302" s="2899" t="n"/>
      <c r="AB302" s="2894">
        <f>' SET Cost(staf+OS)'!J391/1000</f>
        <v/>
      </c>
      <c r="AC302" s="2899" t="n"/>
      <c r="AD302" s="2898" t="n"/>
      <c r="AE302" s="2899" t="n"/>
      <c r="AF302" s="2894">
        <f>' SET Cost(staf+OS)'!K391/1000</f>
        <v/>
      </c>
      <c r="AG302" s="2899" t="n"/>
      <c r="AH302" s="2898" t="n"/>
      <c r="AI302" s="2899" t="n"/>
      <c r="AJ302" s="2894">
        <f>' SET Cost(staf+OS)'!L391/1000</f>
        <v/>
      </c>
      <c r="AK302" s="2899" t="n"/>
      <c r="AL302" s="2897" t="n"/>
      <c r="AM302" s="2899" t="n"/>
      <c r="AN302" s="2894">
        <f>' SET Cost(staf+OS)'!M391/1000</f>
        <v/>
      </c>
      <c r="AO302" s="2899" t="n"/>
      <c r="AP302" s="2897" t="n"/>
      <c r="AQ302" s="2899" t="n"/>
      <c r="AR302" s="2894">
        <f>' SET Cost(staf+OS)'!N391/1000</f>
        <v/>
      </c>
      <c r="AS302" s="2899" t="n"/>
      <c r="AT302" s="2897" t="n"/>
      <c r="AU302" s="2899" t="n"/>
      <c r="AV302" s="2894">
        <f>' SET Cost(staf+OS)'!O391/1000</f>
        <v/>
      </c>
      <c r="AW302" s="2899" t="n"/>
      <c r="AX302" s="2897" t="n"/>
      <c r="AY302" s="2899" t="n"/>
      <c r="AZ302" s="2899">
        <f>SUM(C302:AW302)</f>
        <v/>
      </c>
      <c r="BA302" s="2899" t="n"/>
      <c r="BB302" s="2852" t="n"/>
    </row>
    <row outlineLevel="1" r="303" s="1843" spans="1:55">
      <c r="A303" s="2899" t="s">
        <v>233</v>
      </c>
      <c r="B303" s="2897" t="n"/>
      <c r="C303" s="2899" t="n"/>
      <c r="D303" s="2894">
        <f>' SET Cost(staf+OS)'!D392/1000</f>
        <v/>
      </c>
      <c r="E303" s="2899" t="n"/>
      <c r="F303" s="2897" t="n"/>
      <c r="G303" s="2899" t="n"/>
      <c r="H303" s="2894">
        <f>' SET Cost(staf+OS)'!E392/1000</f>
        <v/>
      </c>
      <c r="I303" s="2899" t="n"/>
      <c r="J303" s="2897" t="n"/>
      <c r="K303" s="2899" t="n"/>
      <c r="L303" s="2894">
        <f>' SET Cost(staf+OS)'!F392/1000</f>
        <v/>
      </c>
      <c r="M303" s="2899" t="n"/>
      <c r="N303" s="2898" t="n"/>
      <c r="O303" s="2899" t="n"/>
      <c r="P303" s="2894">
        <f>' SET Cost(staf+OS)'!G392/1000</f>
        <v/>
      </c>
      <c r="Q303" s="2899" t="n"/>
      <c r="R303" s="2897" t="n"/>
      <c r="S303" s="2899" t="n"/>
      <c r="T303" s="2894">
        <f>' SET Cost(staf+OS)'!H392/1000</f>
        <v/>
      </c>
      <c r="U303" s="2899" t="n"/>
      <c r="V303" s="2898" t="n"/>
      <c r="W303" s="2899" t="n"/>
      <c r="X303" s="2894">
        <f>' SET Cost(staf+OS)'!I392/1000</f>
        <v/>
      </c>
      <c r="Y303" s="2899" t="n"/>
      <c r="Z303" s="2898" t="n"/>
      <c r="AA303" s="2899" t="n"/>
      <c r="AB303" s="2894">
        <f>' SET Cost(staf+OS)'!J392/1000</f>
        <v/>
      </c>
      <c r="AC303" s="2899" t="n"/>
      <c r="AD303" s="2898" t="n"/>
      <c r="AE303" s="2899" t="n"/>
      <c r="AF303" s="2894">
        <f>' SET Cost(staf+OS)'!K392/1000</f>
        <v/>
      </c>
      <c r="AG303" s="2899" t="n"/>
      <c r="AH303" s="2898" t="n"/>
      <c r="AI303" s="2899" t="n"/>
      <c r="AJ303" s="2894">
        <f>' SET Cost(staf+OS)'!L392/1000</f>
        <v/>
      </c>
      <c r="AK303" s="2899" t="n"/>
      <c r="AL303" s="2897" t="n"/>
      <c r="AM303" s="2899" t="n"/>
      <c r="AN303" s="2894">
        <f>' SET Cost(staf+OS)'!M392/1000</f>
        <v/>
      </c>
      <c r="AO303" s="2899" t="n"/>
      <c r="AP303" s="2897" t="n"/>
      <c r="AQ303" s="2899" t="n"/>
      <c r="AR303" s="2894">
        <f>' SET Cost(staf+OS)'!N392/1000</f>
        <v/>
      </c>
      <c r="AS303" s="2899" t="n"/>
      <c r="AT303" s="2897" t="n"/>
      <c r="AU303" s="2899" t="n"/>
      <c r="AV303" s="2894">
        <f>' SET Cost(staf+OS)'!O392/1000</f>
        <v/>
      </c>
      <c r="AW303" s="2899" t="n"/>
      <c r="AX303" s="2897" t="n"/>
      <c r="AY303" s="2899" t="n"/>
      <c r="AZ303" s="2899">
        <f>SUM(C303:AW303)</f>
        <v/>
      </c>
      <c r="BA303" s="2899" t="n"/>
      <c r="BB303" s="2852" t="n"/>
    </row>
    <row outlineLevel="1" r="304" s="1843" spans="1:55">
      <c r="A304" s="2902" t="s">
        <v>368</v>
      </c>
      <c r="B304" s="2897" t="n"/>
      <c r="C304" s="2900" t="n"/>
      <c r="D304" s="2894">
        <f>' SET Cost(staf+OS)'!D393/1000</f>
        <v/>
      </c>
      <c r="E304" s="2899" t="n"/>
      <c r="F304" s="2897" t="n"/>
      <c r="G304" s="2899" t="n"/>
      <c r="H304" s="2894">
        <f>' SET Cost(staf+OS)'!E393/1000</f>
        <v/>
      </c>
      <c r="I304" s="2899" t="n"/>
      <c r="J304" s="2897" t="n"/>
      <c r="K304" s="2899" t="n"/>
      <c r="L304" s="2894">
        <f>' SET Cost(staf+OS)'!F393/1000</f>
        <v/>
      </c>
      <c r="M304" s="2899" t="n"/>
      <c r="N304" s="2898" t="n"/>
      <c r="O304" s="2899" t="n"/>
      <c r="P304" s="2894">
        <f>' SET Cost(staf+OS)'!G393/1000</f>
        <v/>
      </c>
      <c r="Q304" s="2899" t="n"/>
      <c r="R304" s="2897" t="n"/>
      <c r="S304" s="2899" t="n"/>
      <c r="T304" s="2894">
        <f>' SET Cost(staf+OS)'!H393/1000</f>
        <v/>
      </c>
      <c r="U304" s="2899" t="n"/>
      <c r="V304" s="2898" t="n"/>
      <c r="W304" s="2899" t="n"/>
      <c r="X304" s="2894">
        <f>' SET Cost(staf+OS)'!I393/1000</f>
        <v/>
      </c>
      <c r="Y304" s="2899" t="n"/>
      <c r="Z304" s="2898" t="n"/>
      <c r="AA304" s="2899" t="n"/>
      <c r="AB304" s="2894">
        <f>' SET Cost(staf+OS)'!J393/1000</f>
        <v/>
      </c>
      <c r="AC304" s="2899" t="n"/>
      <c r="AD304" s="2898" t="n"/>
      <c r="AE304" s="2899" t="n"/>
      <c r="AF304" s="2894">
        <f>' SET Cost(staf+OS)'!K393/1000</f>
        <v/>
      </c>
      <c r="AG304" s="2899" t="n"/>
      <c r="AH304" s="2898" t="n"/>
      <c r="AI304" s="2899" t="n"/>
      <c r="AJ304" s="2894">
        <f>' SET Cost(staf+OS)'!L393/1000</f>
        <v/>
      </c>
      <c r="AK304" s="2899" t="n"/>
      <c r="AL304" s="2897" t="n"/>
      <c r="AM304" s="2899" t="n"/>
      <c r="AN304" s="2894">
        <f>' SET Cost(staf+OS)'!M393/1000</f>
        <v/>
      </c>
      <c r="AO304" s="2899" t="n"/>
      <c r="AP304" s="2897" t="n"/>
      <c r="AQ304" s="2899" t="n"/>
      <c r="AR304" s="2894">
        <f>' SET Cost(staf+OS)'!N393/1000</f>
        <v/>
      </c>
      <c r="AS304" s="2899" t="n"/>
      <c r="AT304" s="2897" t="n"/>
      <c r="AU304" s="2899" t="n"/>
      <c r="AV304" s="2894">
        <f>' SET Cost(staf+OS)'!O393/1000</f>
        <v/>
      </c>
      <c r="AW304" s="2900" t="n"/>
      <c r="AX304" s="2897" t="n"/>
      <c r="AY304" s="2900" t="n"/>
      <c r="AZ304" s="2899">
        <f>SUM(C304:AW304)</f>
        <v/>
      </c>
      <c r="BA304" s="2900" t="n"/>
      <c r="BB304" s="2852" t="n"/>
    </row>
    <row outlineLevel="1" r="305" s="1843" spans="1:55">
      <c r="A305" s="2902" t="s">
        <v>369</v>
      </c>
      <c r="B305" s="2897" t="n"/>
      <c r="C305" s="2900" t="n"/>
      <c r="D305" s="2894">
        <f>' SET Cost(staf+OS)'!D394/1000</f>
        <v/>
      </c>
      <c r="E305" s="2899" t="n"/>
      <c r="F305" s="2897" t="n"/>
      <c r="G305" s="2899" t="n"/>
      <c r="H305" s="2894">
        <f>' SET Cost(staf+OS)'!E394/1000</f>
        <v/>
      </c>
      <c r="I305" s="2899" t="n"/>
      <c r="J305" s="2897" t="n"/>
      <c r="K305" s="2899" t="n"/>
      <c r="L305" s="2894">
        <f>' SET Cost(staf+OS)'!F394/1000</f>
        <v/>
      </c>
      <c r="M305" s="2899" t="n"/>
      <c r="N305" s="2898" t="n"/>
      <c r="O305" s="2899" t="n"/>
      <c r="P305" s="2894">
        <f>' SET Cost(staf+OS)'!G394/1000</f>
        <v/>
      </c>
      <c r="Q305" s="2899" t="n"/>
      <c r="R305" s="2897" t="n"/>
      <c r="S305" s="2899" t="n"/>
      <c r="T305" s="2894">
        <f>' SET Cost(staf+OS)'!H394/1000</f>
        <v/>
      </c>
      <c r="U305" s="2899" t="n"/>
      <c r="V305" s="2898" t="n"/>
      <c r="W305" s="2899" t="n"/>
      <c r="X305" s="2894">
        <f>' SET Cost(staf+OS)'!I394/1000</f>
        <v/>
      </c>
      <c r="Y305" s="2899" t="n"/>
      <c r="Z305" s="2898" t="n"/>
      <c r="AA305" s="2899" t="n"/>
      <c r="AB305" s="2894">
        <f>' SET Cost(staf+OS)'!J394/1000</f>
        <v/>
      </c>
      <c r="AC305" s="2899" t="n"/>
      <c r="AD305" s="2898" t="n"/>
      <c r="AE305" s="2899" t="n"/>
      <c r="AF305" s="2894">
        <f>' SET Cost(staf+OS)'!K394/1000</f>
        <v/>
      </c>
      <c r="AG305" s="2899" t="n"/>
      <c r="AH305" s="2898" t="n"/>
      <c r="AI305" s="2899" t="n"/>
      <c r="AJ305" s="2894">
        <f>' SET Cost(staf+OS)'!L394/1000</f>
        <v/>
      </c>
      <c r="AK305" s="2899" t="n"/>
      <c r="AL305" s="2897" t="n"/>
      <c r="AM305" s="2899" t="n"/>
      <c r="AN305" s="2894">
        <f>' SET Cost(staf+OS)'!M394/1000</f>
        <v/>
      </c>
      <c r="AO305" s="2899" t="n"/>
      <c r="AP305" s="2897" t="n"/>
      <c r="AQ305" s="2899" t="n"/>
      <c r="AR305" s="2894">
        <f>' SET Cost(staf+OS)'!N394/1000</f>
        <v/>
      </c>
      <c r="AS305" s="2899" t="n"/>
      <c r="AT305" s="2897" t="n"/>
      <c r="AU305" s="2899" t="n"/>
      <c r="AV305" s="2894">
        <f>' SET Cost(staf+OS)'!O394/1000</f>
        <v/>
      </c>
      <c r="AW305" s="2900" t="n"/>
      <c r="AX305" s="2897" t="n"/>
      <c r="AY305" s="2900" t="n"/>
      <c r="AZ305" s="2899">
        <f>SUM(C305:AW305)</f>
        <v/>
      </c>
      <c r="BA305" s="2900" t="n"/>
      <c r="BB305" s="2852" t="n"/>
    </row>
    <row outlineLevel="1" r="306" s="1843" spans="1:55">
      <c r="A306" s="2902" t="s">
        <v>370</v>
      </c>
      <c r="B306" s="2897" t="n"/>
      <c r="C306" s="2900" t="n"/>
      <c r="D306" s="2894">
        <f>' SET Cost(staf+OS)'!D395/1000</f>
        <v/>
      </c>
      <c r="E306" s="2899" t="n"/>
      <c r="F306" s="2897" t="n"/>
      <c r="G306" s="2899" t="n"/>
      <c r="H306" s="2894">
        <f>' SET Cost(staf+OS)'!E395/1000</f>
        <v/>
      </c>
      <c r="I306" s="2899" t="n"/>
      <c r="J306" s="2897" t="n"/>
      <c r="K306" s="2899" t="n"/>
      <c r="L306" s="2894">
        <f>' SET Cost(staf+OS)'!F395/1000</f>
        <v/>
      </c>
      <c r="M306" s="2899" t="n"/>
      <c r="N306" s="2898" t="n"/>
      <c r="O306" s="2899" t="n"/>
      <c r="P306" s="2894">
        <f>' SET Cost(staf+OS)'!G395/1000</f>
        <v/>
      </c>
      <c r="Q306" s="2899" t="n"/>
      <c r="R306" s="2897" t="n"/>
      <c r="S306" s="2899" t="n"/>
      <c r="T306" s="2894">
        <f>' SET Cost(staf+OS)'!H395/1000</f>
        <v/>
      </c>
      <c r="U306" s="2899" t="n"/>
      <c r="V306" s="2898" t="n"/>
      <c r="W306" s="2899" t="n"/>
      <c r="X306" s="2894">
        <f>' SET Cost(staf+OS)'!I395/1000</f>
        <v/>
      </c>
      <c r="Y306" s="2899" t="n"/>
      <c r="Z306" s="2898" t="n"/>
      <c r="AA306" s="2899" t="n"/>
      <c r="AB306" s="2894">
        <f>' SET Cost(staf+OS)'!J395/1000</f>
        <v/>
      </c>
      <c r="AC306" s="2899" t="n"/>
      <c r="AD306" s="2898" t="n"/>
      <c r="AE306" s="2899" t="n"/>
      <c r="AF306" s="2894">
        <f>' SET Cost(staf+OS)'!K395/1000</f>
        <v/>
      </c>
      <c r="AG306" s="2899" t="n"/>
      <c r="AH306" s="2898" t="n"/>
      <c r="AI306" s="2899" t="n"/>
      <c r="AJ306" s="2894">
        <f>' SET Cost(staf+OS)'!L395/1000</f>
        <v/>
      </c>
      <c r="AK306" s="2899" t="n"/>
      <c r="AL306" s="2897" t="n"/>
      <c r="AM306" s="2899" t="n"/>
      <c r="AN306" s="2894">
        <f>' SET Cost(staf+OS)'!M395/1000</f>
        <v/>
      </c>
      <c r="AO306" s="2899" t="n"/>
      <c r="AP306" s="2897" t="n"/>
      <c r="AQ306" s="2899" t="n"/>
      <c r="AR306" s="2894">
        <f>' SET Cost(staf+OS)'!N395/1000</f>
        <v/>
      </c>
      <c r="AS306" s="2899" t="n"/>
      <c r="AT306" s="2897" t="n"/>
      <c r="AU306" s="2899" t="n"/>
      <c r="AV306" s="2894">
        <f>' SET Cost(staf+OS)'!O395/1000</f>
        <v/>
      </c>
      <c r="AW306" s="2900" t="n"/>
      <c r="AX306" s="2897" t="n"/>
      <c r="AY306" s="2900" t="n"/>
      <c r="AZ306" s="2899">
        <f>SUM(C306:AW306)</f>
        <v/>
      </c>
      <c r="BA306" s="2900" t="n"/>
      <c r="BB306" s="2852" t="n"/>
    </row>
    <row outlineLevel="1" r="307" s="1843" spans="1:55">
      <c r="A307" s="2902" t="s">
        <v>371</v>
      </c>
      <c r="B307" s="2897" t="n"/>
      <c r="C307" s="2900" t="n"/>
      <c r="D307" s="2894">
        <f>' SET Cost(staf+OS)'!D396/1000</f>
        <v/>
      </c>
      <c r="E307" s="2899" t="n"/>
      <c r="F307" s="2897" t="n"/>
      <c r="G307" s="2899" t="n"/>
      <c r="H307" s="2894">
        <f>' SET Cost(staf+OS)'!E396/1000</f>
        <v/>
      </c>
      <c r="I307" s="2899" t="n"/>
      <c r="J307" s="2897" t="n"/>
      <c r="K307" s="2899" t="n"/>
      <c r="L307" s="2894">
        <f>' SET Cost(staf+OS)'!F396/1000</f>
        <v/>
      </c>
      <c r="M307" s="2899" t="n"/>
      <c r="N307" s="2898" t="n"/>
      <c r="O307" s="2899" t="n"/>
      <c r="P307" s="2894">
        <f>' SET Cost(staf+OS)'!G396/1000</f>
        <v/>
      </c>
      <c r="Q307" s="2899" t="n"/>
      <c r="R307" s="2897" t="n"/>
      <c r="S307" s="2899" t="n"/>
      <c r="T307" s="2894">
        <f>' SET Cost(staf+OS)'!H396/1000</f>
        <v/>
      </c>
      <c r="U307" s="2899" t="n"/>
      <c r="V307" s="2898" t="n"/>
      <c r="W307" s="2899" t="n"/>
      <c r="X307" s="2894">
        <f>' SET Cost(staf+OS)'!I396/1000</f>
        <v/>
      </c>
      <c r="Y307" s="2899" t="n"/>
      <c r="Z307" s="2898" t="n"/>
      <c r="AA307" s="2899" t="n"/>
      <c r="AB307" s="2894">
        <f>' SET Cost(staf+OS)'!J396/1000</f>
        <v/>
      </c>
      <c r="AC307" s="2899" t="n"/>
      <c r="AD307" s="2898" t="n"/>
      <c r="AE307" s="2899" t="n"/>
      <c r="AF307" s="2894">
        <f>' SET Cost(staf+OS)'!K396/1000</f>
        <v/>
      </c>
      <c r="AG307" s="2899" t="n"/>
      <c r="AH307" s="2898" t="n"/>
      <c r="AI307" s="2899" t="n"/>
      <c r="AJ307" s="2894">
        <f>' SET Cost(staf+OS)'!L396/1000</f>
        <v/>
      </c>
      <c r="AK307" s="2899" t="n"/>
      <c r="AL307" s="2897" t="n"/>
      <c r="AM307" s="2899" t="n"/>
      <c r="AN307" s="2894">
        <f>' SET Cost(staf+OS)'!M396/1000</f>
        <v/>
      </c>
      <c r="AO307" s="2899" t="n"/>
      <c r="AP307" s="2897" t="n"/>
      <c r="AQ307" s="2899" t="n"/>
      <c r="AR307" s="2894">
        <f>' SET Cost(staf+OS)'!N396/1000</f>
        <v/>
      </c>
      <c r="AS307" s="2899" t="n"/>
      <c r="AT307" s="2897" t="n"/>
      <c r="AU307" s="2899" t="n"/>
      <c r="AV307" s="2894">
        <f>' SET Cost(staf+OS)'!O396/1000</f>
        <v/>
      </c>
      <c r="AW307" s="2900" t="n"/>
      <c r="AX307" s="2897" t="n"/>
      <c r="AY307" s="2900" t="n"/>
      <c r="AZ307" s="2899">
        <f>SUM(C307:AW307)</f>
        <v/>
      </c>
      <c r="BA307" s="2900" t="n"/>
      <c r="BB307" s="2852" t="n"/>
    </row>
    <row outlineLevel="1" r="308" s="1843" spans="1:55">
      <c r="A308" s="2902" t="s">
        <v>372</v>
      </c>
      <c r="B308" s="2897" t="n"/>
      <c r="C308" s="2900" t="n"/>
      <c r="D308" s="2894">
        <f>' SET Cost(staf+OS)'!D397/1000</f>
        <v/>
      </c>
      <c r="E308" s="2899" t="n"/>
      <c r="F308" s="2897" t="n"/>
      <c r="G308" s="2899" t="n"/>
      <c r="H308" s="2894">
        <f>' SET Cost(staf+OS)'!E397/1000</f>
        <v/>
      </c>
      <c r="I308" s="2899" t="n"/>
      <c r="J308" s="2897" t="n"/>
      <c r="K308" s="2899" t="n"/>
      <c r="L308" s="2894">
        <f>' SET Cost(staf+OS)'!F397/1000</f>
        <v/>
      </c>
      <c r="M308" s="2899" t="n"/>
      <c r="N308" s="2898" t="n"/>
      <c r="O308" s="2899" t="n"/>
      <c r="P308" s="2894">
        <f>' SET Cost(staf+OS)'!G397/1000</f>
        <v/>
      </c>
      <c r="Q308" s="2899" t="n"/>
      <c r="R308" s="2897" t="n"/>
      <c r="S308" s="2899" t="n"/>
      <c r="T308" s="2894">
        <f>' SET Cost(staf+OS)'!H397/1000</f>
        <v/>
      </c>
      <c r="U308" s="2899" t="n"/>
      <c r="V308" s="2898" t="n"/>
      <c r="W308" s="2899" t="n"/>
      <c r="X308" s="2894">
        <f>' SET Cost(staf+OS)'!I397/1000</f>
        <v/>
      </c>
      <c r="Y308" s="2899" t="n"/>
      <c r="Z308" s="2898" t="n"/>
      <c r="AA308" s="2899" t="n"/>
      <c r="AB308" s="2894">
        <f>' SET Cost(staf+OS)'!J397/1000</f>
        <v/>
      </c>
      <c r="AC308" s="2899" t="n"/>
      <c r="AD308" s="2898" t="n"/>
      <c r="AE308" s="2899" t="n"/>
      <c r="AF308" s="2894">
        <f>' SET Cost(staf+OS)'!K397/1000</f>
        <v/>
      </c>
      <c r="AG308" s="2899" t="n"/>
      <c r="AH308" s="2898" t="n"/>
      <c r="AI308" s="2899" t="n"/>
      <c r="AJ308" s="2894">
        <f>' SET Cost(staf+OS)'!L397/1000</f>
        <v/>
      </c>
      <c r="AK308" s="2899" t="n"/>
      <c r="AL308" s="2897" t="n"/>
      <c r="AM308" s="2899" t="n"/>
      <c r="AN308" s="2894">
        <f>' SET Cost(staf+OS)'!M397/1000</f>
        <v/>
      </c>
      <c r="AO308" s="2899" t="n"/>
      <c r="AP308" s="2897" t="n"/>
      <c r="AQ308" s="2899" t="n"/>
      <c r="AR308" s="2894">
        <f>' SET Cost(staf+OS)'!N397/1000</f>
        <v/>
      </c>
      <c r="AS308" s="2899" t="n"/>
      <c r="AT308" s="2897" t="n"/>
      <c r="AU308" s="2899" t="n"/>
      <c r="AV308" s="2894">
        <f>' SET Cost(staf+OS)'!O397/1000</f>
        <v/>
      </c>
      <c r="AW308" s="2900" t="n"/>
      <c r="AX308" s="2897" t="n"/>
      <c r="AY308" s="2900" t="n"/>
      <c r="AZ308" s="2899">
        <f>SUM(C308:AW308)</f>
        <v/>
      </c>
      <c r="BA308" s="2900" t="n"/>
      <c r="BB308" s="2852" t="n"/>
    </row>
    <row outlineLevel="1" r="309" s="1843" spans="1:55">
      <c r="A309" s="2903" t="s">
        <v>89</v>
      </c>
      <c r="B309" s="2897" t="n"/>
      <c r="C309" s="2899">
        <f>'FY18 SET'!G35/1000</f>
        <v/>
      </c>
      <c r="D309" s="2899" t="n"/>
      <c r="E309" s="2899" t="n"/>
      <c r="F309" s="2897" t="n"/>
      <c r="G309" s="2899">
        <f>'FY18 SET'!H35/1000</f>
        <v/>
      </c>
      <c r="H309" s="2899" t="n"/>
      <c r="I309" s="2899" t="n"/>
      <c r="J309" s="2897" t="n"/>
      <c r="K309" s="2899">
        <f>'FY18 SET'!I35/1000</f>
        <v/>
      </c>
      <c r="L309" s="2899" t="n"/>
      <c r="M309" s="2899" t="n"/>
      <c r="N309" s="2898" t="n"/>
      <c r="O309" s="2899">
        <f>'FY18 SET'!J35/1000</f>
        <v/>
      </c>
      <c r="P309" s="2899" t="n"/>
      <c r="Q309" s="2899" t="n"/>
      <c r="R309" s="2897" t="n"/>
      <c r="S309" s="2899">
        <f>'FY18 SET'!K35/1000</f>
        <v/>
      </c>
      <c r="T309" s="2899" t="n"/>
      <c r="U309" s="2899" t="n"/>
      <c r="V309" s="2898" t="n"/>
      <c r="W309" s="2899">
        <f>'FY18 SET'!L35/1000</f>
        <v/>
      </c>
      <c r="X309" s="2899" t="n"/>
      <c r="Y309" s="2899" t="n"/>
      <c r="Z309" s="2898" t="n"/>
      <c r="AA309" s="2899">
        <f>'FY18 SET'!N35/1000</f>
        <v/>
      </c>
      <c r="AB309" s="2899" t="n"/>
      <c r="AC309" s="2899" t="n"/>
      <c r="AD309" s="2898" t="n"/>
      <c r="AE309" s="2899">
        <f>'FY18 SET'!O35/1000</f>
        <v/>
      </c>
      <c r="AF309" s="2899" t="n"/>
      <c r="AG309" s="2899" t="n"/>
      <c r="AH309" s="2898" t="n"/>
      <c r="AI309" s="2899">
        <f>'FY18 SET'!P35/1000</f>
        <v/>
      </c>
      <c r="AJ309" s="2899" t="n"/>
      <c r="AK309" s="2899" t="n"/>
      <c r="AL309" s="2897" t="n"/>
      <c r="AM309" s="2899">
        <f>'FY18 SET'!Q35/1000</f>
        <v/>
      </c>
      <c r="AN309" s="2899" t="n"/>
      <c r="AO309" s="2899" t="n"/>
      <c r="AP309" s="2897" t="n"/>
      <c r="AQ309" s="2899">
        <f>'FY18 SET'!R35/1000</f>
        <v/>
      </c>
      <c r="AR309" s="2899" t="n"/>
      <c r="AS309" s="2899" t="n"/>
      <c r="AT309" s="2897" t="n"/>
      <c r="AU309" s="2899">
        <f>'FY18 SET'!S35/1000</f>
        <v/>
      </c>
      <c r="AV309" s="2899" t="n"/>
      <c r="AW309" s="2899" t="n"/>
      <c r="AX309" s="2897" t="n"/>
      <c r="AY309" s="2899">
        <f>SUM(B309:AV309)</f>
        <v/>
      </c>
      <c r="AZ309" s="2899" t="n"/>
      <c r="BA309" s="2899" t="n"/>
    </row>
    <row outlineLevel="1" r="310" s="1843" spans="1:55">
      <c r="A310" s="2903" t="s">
        <v>153</v>
      </c>
      <c r="B310" s="2897" t="n"/>
      <c r="C310" s="2899" t="n"/>
      <c r="D310" s="2899" t="n"/>
      <c r="E310" s="2899">
        <f>SUM(C292:C310)-SUM(D292:D310)</f>
        <v/>
      </c>
      <c r="F310" s="2897" t="n"/>
      <c r="G310" s="2899" t="n"/>
      <c r="H310" s="2899" t="n"/>
      <c r="I310" s="2899">
        <f>SUM(G292:G310)-SUM(H292:H310)</f>
        <v/>
      </c>
      <c r="J310" s="2897" t="n"/>
      <c r="K310" s="2899" t="n"/>
      <c r="L310" s="2899" t="n"/>
      <c r="M310" s="2899">
        <f>SUM(K292:K310)-SUM(L292:L310)</f>
        <v/>
      </c>
      <c r="N310" s="2898" t="n"/>
      <c r="O310" s="2899" t="n"/>
      <c r="P310" s="2899" t="n"/>
      <c r="Q310" s="2899">
        <f>SUM(O292:O310)-SUM(P292:P310)</f>
        <v/>
      </c>
      <c r="R310" s="2897" t="n"/>
      <c r="S310" s="2899" t="n"/>
      <c r="T310" s="2899" t="n"/>
      <c r="U310" s="2899">
        <f>SUM(S292:S310)-SUM(T292:T310)</f>
        <v/>
      </c>
      <c r="V310" s="2898" t="n"/>
      <c r="W310" s="2899" t="n"/>
      <c r="X310" s="2899" t="n"/>
      <c r="Y310" s="2899">
        <f>SUM(W292:W310)-SUM(X292:X310)</f>
        <v/>
      </c>
      <c r="Z310" s="2898" t="n"/>
      <c r="AA310" s="2899" t="n"/>
      <c r="AB310" s="2899" t="n"/>
      <c r="AC310" s="2899">
        <f>SUM(AA292:AA310)-SUM(AB292:AB310)</f>
        <v/>
      </c>
      <c r="AD310" s="2898" t="n"/>
      <c r="AE310" s="2899" t="n"/>
      <c r="AF310" s="2899" t="n"/>
      <c r="AG310" s="2899">
        <f>SUM(AE292:AE310)-SUM(AF292:AF310)</f>
        <v/>
      </c>
      <c r="AH310" s="2898" t="n"/>
      <c r="AI310" s="2899" t="n"/>
      <c r="AJ310" s="2899" t="n"/>
      <c r="AK310" s="2899">
        <f>SUM(AI292:AI310)-SUM(AJ292:AJ310)</f>
        <v/>
      </c>
      <c r="AL310" s="2897" t="n"/>
      <c r="AM310" s="2899" t="n"/>
      <c r="AN310" s="2899" t="n"/>
      <c r="AO310" s="2899">
        <f>SUM(AM292:AM310)-SUM(AN292:AN310)</f>
        <v/>
      </c>
      <c r="AP310" s="2897" t="n"/>
      <c r="AQ310" s="2899" t="n"/>
      <c r="AR310" s="2899" t="n"/>
      <c r="AS310" s="2899">
        <f>SUM(AQ292:AQ310)-SUM(AR292:AR310)</f>
        <v/>
      </c>
      <c r="AT310" s="2897" t="n"/>
      <c r="AU310" s="2899" t="n"/>
      <c r="AV310" s="2899" t="n"/>
      <c r="AW310" s="2899">
        <f>SUM(AU292:AU310)-SUM(AV292:AV310)</f>
        <v/>
      </c>
      <c r="AX310" s="2897" t="n"/>
      <c r="AY310" s="2899" t="n"/>
      <c r="AZ310" s="2899" t="n"/>
      <c r="BA310" s="2900">
        <f>SUM(D310:AY310)</f>
        <v/>
      </c>
    </row>
    <row customFormat="1" outlineLevel="1" r="311" s="2802" spans="1:55">
      <c r="A311" s="2904" t="s">
        <v>173</v>
      </c>
      <c r="B311" s="2905" t="n"/>
      <c r="C311" s="2906">
        <f>SUM(C292:C310)</f>
        <v/>
      </c>
      <c r="D311" s="2906">
        <f>SUM(D292:D310)</f>
        <v/>
      </c>
      <c r="E311" s="2906">
        <f>SUM(E310:E310)</f>
        <v/>
      </c>
      <c r="F311" s="2905" t="n"/>
      <c r="G311" s="2906">
        <f>SUM(G292:G310)</f>
        <v/>
      </c>
      <c r="H311" s="2906">
        <f>SUM(H292:H310)</f>
        <v/>
      </c>
      <c r="I311" s="2906">
        <f>SUM(I310:I310)</f>
        <v/>
      </c>
      <c r="J311" s="2905" t="n"/>
      <c r="K311" s="2906">
        <f>SUM(K292:K310)</f>
        <v/>
      </c>
      <c r="L311" s="2906">
        <f>SUM(L292:L310)</f>
        <v/>
      </c>
      <c r="M311" s="2906">
        <f>SUM(M310:M310)</f>
        <v/>
      </c>
      <c r="N311" s="2907" t="n"/>
      <c r="O311" s="2906">
        <f>SUM(O292:O310)</f>
        <v/>
      </c>
      <c r="P311" s="2906">
        <f>SUM(P292:P310)</f>
        <v/>
      </c>
      <c r="Q311" s="2906">
        <f>SUM(Q310:Q310)</f>
        <v/>
      </c>
      <c r="R311" s="2905" t="n"/>
      <c r="S311" s="2906">
        <f>SUM(S292:S310)</f>
        <v/>
      </c>
      <c r="T311" s="2906">
        <f>SUM(T292:T310)</f>
        <v/>
      </c>
      <c r="U311" s="2906">
        <f>SUM(U310:U310)</f>
        <v/>
      </c>
      <c r="V311" s="2907" t="n"/>
      <c r="W311" s="2906">
        <f>SUM(W292:W310)</f>
        <v/>
      </c>
      <c r="X311" s="2906">
        <f>SUM(X292:X310)</f>
        <v/>
      </c>
      <c r="Y311" s="2906">
        <f>SUM(Y310:Y310)</f>
        <v/>
      </c>
      <c r="Z311" s="2907" t="n"/>
      <c r="AA311" s="2906">
        <f>SUM(AA292:AA310)</f>
        <v/>
      </c>
      <c r="AB311" s="2906">
        <f>SUM(AB292:AB310)</f>
        <v/>
      </c>
      <c r="AC311" s="2906">
        <f>SUM(AC310:AC310)</f>
        <v/>
      </c>
      <c r="AD311" s="2907" t="n"/>
      <c r="AE311" s="2906">
        <f>SUM(AE292:AE310)</f>
        <v/>
      </c>
      <c r="AF311" s="2906">
        <f>SUM(AF292:AF310)</f>
        <v/>
      </c>
      <c r="AG311" s="2906">
        <f>SUM(AG310:AG310)</f>
        <v/>
      </c>
      <c r="AH311" s="2907" t="n"/>
      <c r="AI311" s="2906">
        <f>SUM(AI292:AI310)</f>
        <v/>
      </c>
      <c r="AJ311" s="2906">
        <f>SUM(AJ292:AJ310)</f>
        <v/>
      </c>
      <c r="AK311" s="2906">
        <f>SUM(AK310:AK310)</f>
        <v/>
      </c>
      <c r="AL311" s="2905" t="n"/>
      <c r="AM311" s="2906">
        <f>SUM(AM292:AM310)</f>
        <v/>
      </c>
      <c r="AN311" s="2906">
        <f>SUM(AN292:AN310)</f>
        <v/>
      </c>
      <c r="AO311" s="2906">
        <f>SUM(AO310:AO310)</f>
        <v/>
      </c>
      <c r="AP311" s="2905" t="n"/>
      <c r="AQ311" s="2906">
        <f>SUM(AQ292:AQ310)</f>
        <v/>
      </c>
      <c r="AR311" s="2906">
        <f>SUM(AR292:AR310)</f>
        <v/>
      </c>
      <c r="AS311" s="2906">
        <f>SUM(AS310:AS310)</f>
        <v/>
      </c>
      <c r="AT311" s="2905" t="n"/>
      <c r="AU311" s="2906">
        <f>SUM(AU292:AU310)</f>
        <v/>
      </c>
      <c r="AV311" s="2906">
        <f>SUM(AV292:AV310)</f>
        <v/>
      </c>
      <c r="AW311" s="2906">
        <f>SUM(AW310:AW310)</f>
        <v/>
      </c>
      <c r="AX311" s="2905" t="n"/>
      <c r="AY311" s="2904">
        <f>SUM(AY292:AY310)</f>
        <v/>
      </c>
      <c r="AZ311" s="2904">
        <f>SUM(AZ292:AZ310)</f>
        <v/>
      </c>
      <c r="BA311" s="2904">
        <f>SUM(BA310:BA310)</f>
        <v/>
      </c>
    </row>
    <row customFormat="1" outlineLevel="1" r="312" s="2808" spans="1:55">
      <c r="A312" s="2904" t="s">
        <v>389</v>
      </c>
      <c r="B312" s="2905" t="n"/>
      <c r="C312" s="2906" t="n"/>
      <c r="D312" s="2906" t="n"/>
      <c r="E312" s="2908">
        <f>E311/C311</f>
        <v/>
      </c>
      <c r="F312" s="2905" t="n"/>
      <c r="G312" s="2906" t="n"/>
      <c r="H312" s="2906" t="n"/>
      <c r="I312" s="2908">
        <f>I311/G311</f>
        <v/>
      </c>
      <c r="J312" s="2905" t="n"/>
      <c r="K312" s="2906" t="n"/>
      <c r="L312" s="2906" t="n"/>
      <c r="M312" s="2908">
        <f>M311/K311</f>
        <v/>
      </c>
      <c r="N312" s="2909" t="n"/>
      <c r="O312" s="2906" t="n"/>
      <c r="P312" s="2906" t="n"/>
      <c r="Q312" s="2908">
        <f>Q311/O311</f>
        <v/>
      </c>
      <c r="R312" s="2905" t="n"/>
      <c r="S312" s="2906" t="n"/>
      <c r="T312" s="2906" t="n"/>
      <c r="U312" s="2908">
        <f>U311/S311</f>
        <v/>
      </c>
      <c r="V312" s="2909" t="n"/>
      <c r="W312" s="2906" t="n"/>
      <c r="X312" s="2906" t="n"/>
      <c r="Y312" s="2908">
        <f>Y311/W311</f>
        <v/>
      </c>
      <c r="Z312" s="2909" t="n"/>
      <c r="AA312" s="2906" t="n"/>
      <c r="AB312" s="2906" t="n"/>
      <c r="AC312" s="2908">
        <f>AC311/AA311</f>
        <v/>
      </c>
      <c r="AD312" s="2909" t="n"/>
      <c r="AE312" s="2906" t="n"/>
      <c r="AF312" s="2906" t="n"/>
      <c r="AG312" s="2908">
        <f>AG311/AE311</f>
        <v/>
      </c>
      <c r="AH312" s="2909" t="n"/>
      <c r="AI312" s="2906" t="n"/>
      <c r="AJ312" s="2906" t="n"/>
      <c r="AK312" s="2908">
        <f>AK311/AI311</f>
        <v/>
      </c>
      <c r="AL312" s="2905" t="n"/>
      <c r="AM312" s="2906" t="n"/>
      <c r="AN312" s="2906" t="n"/>
      <c r="AO312" s="2908">
        <f>AO311/AM311</f>
        <v/>
      </c>
      <c r="AP312" s="2905" t="n"/>
      <c r="AQ312" s="2906" t="n"/>
      <c r="AR312" s="2906" t="n"/>
      <c r="AS312" s="2908">
        <f>AS311/AQ311</f>
        <v/>
      </c>
      <c r="AT312" s="2905" t="n"/>
      <c r="AU312" s="2906" t="n"/>
      <c r="AV312" s="2906" t="n"/>
      <c r="AW312" s="2908">
        <f>AW311/AU311</f>
        <v/>
      </c>
      <c r="AX312" s="2905" t="n"/>
      <c r="AY312" s="2904" t="n"/>
      <c r="AZ312" s="2904" t="n"/>
      <c r="BA312" s="2908">
        <f>BA311/AY311</f>
        <v/>
      </c>
    </row>
    <row outlineLevel="1" r="313" s="1843" spans="1:55"/>
    <row customFormat="1" outlineLevel="1" r="314" s="2808" spans="1:55">
      <c r="A314" s="2889" t="s">
        <v>390</v>
      </c>
      <c r="B314" s="2890" t="n"/>
      <c r="C314" s="2891" t="s">
        <v>62</v>
      </c>
      <c r="F314" s="2890" t="n"/>
      <c r="G314" s="2891" t="s">
        <v>63</v>
      </c>
      <c r="J314" s="2890" t="n"/>
      <c r="K314" s="2891" t="s">
        <v>64</v>
      </c>
      <c r="N314" s="2892" t="n"/>
      <c r="O314" s="2891" t="s">
        <v>174</v>
      </c>
      <c r="R314" s="2890" t="n"/>
      <c r="S314" s="2891" t="s">
        <v>66</v>
      </c>
      <c r="V314" s="2892" t="n"/>
      <c r="W314" s="2891" t="s">
        <v>67</v>
      </c>
      <c r="Z314" s="2892" t="n"/>
      <c r="AA314" s="2891" t="s">
        <v>69</v>
      </c>
      <c r="AD314" s="2892" t="n"/>
      <c r="AE314" s="2891" t="s">
        <v>70</v>
      </c>
      <c r="AH314" s="2892" t="n"/>
      <c r="AI314" s="2891" t="s">
        <v>71</v>
      </c>
      <c r="AL314" s="2890" t="n"/>
      <c r="AM314" s="2891" t="s">
        <v>72</v>
      </c>
      <c r="AP314" s="2890" t="n"/>
      <c r="AQ314" s="2891" t="s">
        <v>73</v>
      </c>
      <c r="AT314" s="2890" t="n"/>
      <c r="AU314" s="2891" t="s">
        <v>74</v>
      </c>
      <c r="AX314" s="2890" t="n"/>
      <c r="AY314" s="2891" t="s">
        <v>173</v>
      </c>
    </row>
    <row customFormat="1" outlineLevel="1" r="315" s="2808" spans="1:55">
      <c r="A315" s="2893" t="n"/>
      <c r="B315" s="2893" t="n"/>
      <c r="C315" s="2893" t="s">
        <v>89</v>
      </c>
      <c r="D315" s="2893" t="s">
        <v>152</v>
      </c>
      <c r="E315" s="2893" t="s">
        <v>153</v>
      </c>
      <c r="F315" s="2893" t="n"/>
      <c r="G315" s="2893" t="s">
        <v>89</v>
      </c>
      <c r="H315" s="2893" t="s">
        <v>152</v>
      </c>
      <c r="I315" s="2893" t="s">
        <v>153</v>
      </c>
      <c r="J315" s="2893" t="n"/>
      <c r="K315" s="2893" t="s">
        <v>89</v>
      </c>
      <c r="L315" s="2893" t="s">
        <v>152</v>
      </c>
      <c r="M315" s="2893" t="s">
        <v>153</v>
      </c>
      <c r="N315" s="2892" t="n"/>
      <c r="O315" s="2893" t="s">
        <v>89</v>
      </c>
      <c r="P315" s="2893" t="s">
        <v>152</v>
      </c>
      <c r="Q315" s="2893" t="s">
        <v>153</v>
      </c>
      <c r="R315" s="2893" t="n"/>
      <c r="S315" s="2893" t="s">
        <v>89</v>
      </c>
      <c r="T315" s="2893" t="s">
        <v>152</v>
      </c>
      <c r="U315" s="2893" t="s">
        <v>153</v>
      </c>
      <c r="V315" s="2892" t="n"/>
      <c r="W315" s="2893" t="s">
        <v>89</v>
      </c>
      <c r="X315" s="2893" t="s">
        <v>152</v>
      </c>
      <c r="Y315" s="2893" t="s">
        <v>153</v>
      </c>
      <c r="Z315" s="2892" t="n"/>
      <c r="AA315" s="2893" t="s">
        <v>89</v>
      </c>
      <c r="AB315" s="2893" t="s">
        <v>152</v>
      </c>
      <c r="AC315" s="2893" t="s">
        <v>153</v>
      </c>
      <c r="AD315" s="2892" t="n"/>
      <c r="AE315" s="2893" t="s">
        <v>89</v>
      </c>
      <c r="AF315" s="2893" t="s">
        <v>152</v>
      </c>
      <c r="AG315" s="2893" t="s">
        <v>153</v>
      </c>
      <c r="AH315" s="2892" t="n"/>
      <c r="AI315" s="2893" t="s">
        <v>89</v>
      </c>
      <c r="AJ315" s="2893" t="s">
        <v>152</v>
      </c>
      <c r="AK315" s="2893" t="s">
        <v>153</v>
      </c>
      <c r="AL315" s="2893" t="n"/>
      <c r="AM315" s="2893" t="s">
        <v>89</v>
      </c>
      <c r="AN315" s="2893" t="s">
        <v>152</v>
      </c>
      <c r="AO315" s="2893" t="s">
        <v>153</v>
      </c>
      <c r="AP315" s="2893" t="n"/>
      <c r="AQ315" s="2893" t="s">
        <v>89</v>
      </c>
      <c r="AR315" s="2893" t="s">
        <v>152</v>
      </c>
      <c r="AS315" s="2893" t="s">
        <v>153</v>
      </c>
      <c r="AT315" s="2893" t="n"/>
      <c r="AU315" s="2893" t="s">
        <v>89</v>
      </c>
      <c r="AV315" s="2893" t="s">
        <v>152</v>
      </c>
      <c r="AW315" s="2893" t="s">
        <v>153</v>
      </c>
      <c r="AX315" s="2893" t="n"/>
      <c r="AY315" s="2893" t="s">
        <v>89</v>
      </c>
      <c r="AZ315" s="2893" t="s">
        <v>152</v>
      </c>
      <c r="BA315" s="2893" t="s">
        <v>153</v>
      </c>
    </row>
    <row customFormat="1" outlineLevel="1" r="316" s="2808" spans="1:55">
      <c r="A316" s="2894" t="s">
        <v>187</v>
      </c>
      <c r="B316" s="2895" t="n"/>
      <c r="C316" s="2894" t="n"/>
      <c r="D316" s="2894">
        <f>' SET Cost(staf+OS)'!D416/1000</f>
        <v/>
      </c>
      <c r="E316" s="2894" t="n"/>
      <c r="F316" s="2895" t="n"/>
      <c r="G316" s="2894" t="n"/>
      <c r="H316" s="2894">
        <f>' SET Cost(staf+OS)'!E416/1000</f>
        <v/>
      </c>
      <c r="I316" s="2894" t="n"/>
      <c r="J316" s="2895" t="n"/>
      <c r="K316" s="2894" t="n"/>
      <c r="L316" s="2894">
        <f>' SET Cost(staf+OS)'!F416/1000</f>
        <v/>
      </c>
      <c r="M316" s="2894" t="n"/>
      <c r="N316" s="2892" t="n"/>
      <c r="O316" s="2894" t="n"/>
      <c r="P316" s="2894">
        <f>' SET Cost(staf+OS)'!G416/1000</f>
        <v/>
      </c>
      <c r="Q316" s="2894" t="n"/>
      <c r="R316" s="2895" t="n"/>
      <c r="S316" s="2894" t="n"/>
      <c r="T316" s="2894">
        <f>' SET Cost(staf+OS)'!H416/1000</f>
        <v/>
      </c>
      <c r="U316" s="2894" t="n"/>
      <c r="V316" s="2892" t="n"/>
      <c r="W316" s="2894" t="n"/>
      <c r="X316" s="2894">
        <f>' SET Cost(staf+OS)'!I416/1000</f>
        <v/>
      </c>
      <c r="Y316" s="2894" t="n"/>
      <c r="Z316" s="2892" t="n"/>
      <c r="AA316" s="2894" t="n"/>
      <c r="AB316" s="2894">
        <f>' SET Cost(staf+OS)'!J416/1000</f>
        <v/>
      </c>
      <c r="AC316" s="2894" t="n"/>
      <c r="AD316" s="2892" t="n"/>
      <c r="AE316" s="2894" t="n"/>
      <c r="AF316" s="2894">
        <f>' SET Cost(staf+OS)'!K416/1000</f>
        <v/>
      </c>
      <c r="AG316" s="2894" t="n"/>
      <c r="AH316" s="2892" t="n"/>
      <c r="AI316" s="2894" t="n"/>
      <c r="AJ316" s="2894">
        <f>' SET Cost(staf+OS)'!L416/1000</f>
        <v/>
      </c>
      <c r="AK316" s="2894" t="n"/>
      <c r="AL316" s="2895" t="n"/>
      <c r="AM316" s="2894" t="n"/>
      <c r="AN316" s="2894">
        <f>' SET Cost(staf+OS)'!M416/1000</f>
        <v/>
      </c>
      <c r="AO316" s="2894" t="n"/>
      <c r="AP316" s="2895" t="n"/>
      <c r="AQ316" s="2894" t="n"/>
      <c r="AR316" s="2894">
        <f>' SET Cost(staf+OS)'!N416/1000</f>
        <v/>
      </c>
      <c r="AS316" s="2894" t="n"/>
      <c r="AT316" s="2895" t="n"/>
      <c r="AU316" s="2894" t="n"/>
      <c r="AV316" s="2894">
        <f>' SET Cost(staf+OS)'!O416/1000</f>
        <v/>
      </c>
      <c r="AW316" s="2894" t="n"/>
      <c r="AX316" s="2895" t="n"/>
      <c r="AY316" s="2894" t="n"/>
      <c r="AZ316" s="2894">
        <f>SUM(C316:AW316)</f>
        <v/>
      </c>
      <c r="BA316" s="2894" t="n"/>
    </row>
    <row customFormat="1" outlineLevel="1" r="317" s="2808" spans="1:55">
      <c r="A317" s="2894" t="s">
        <v>189</v>
      </c>
      <c r="B317" s="2895" t="n"/>
      <c r="C317" s="2894" t="n"/>
      <c r="D317" s="2894">
        <f>' SET Cost(staf+OS)'!D417/1000</f>
        <v/>
      </c>
      <c r="E317" s="2894" t="n"/>
      <c r="F317" s="2895" t="n"/>
      <c r="G317" s="2894" t="n"/>
      <c r="H317" s="2894">
        <f>' SET Cost(staf+OS)'!E417/1000</f>
        <v/>
      </c>
      <c r="I317" s="2894" t="n"/>
      <c r="J317" s="2895" t="n"/>
      <c r="K317" s="2894" t="n"/>
      <c r="L317" s="2894">
        <f>' SET Cost(staf+OS)'!F417/1000</f>
        <v/>
      </c>
      <c r="M317" s="2894" t="n"/>
      <c r="N317" s="2892" t="n"/>
      <c r="O317" s="2894" t="n"/>
      <c r="P317" s="2894">
        <f>' SET Cost(staf+OS)'!G417/1000</f>
        <v/>
      </c>
      <c r="Q317" s="2894" t="n"/>
      <c r="R317" s="2895" t="n"/>
      <c r="S317" s="2894" t="n"/>
      <c r="T317" s="2894">
        <f>' SET Cost(staf+OS)'!H417/1000</f>
        <v/>
      </c>
      <c r="U317" s="2894" t="n"/>
      <c r="V317" s="2892" t="n"/>
      <c r="W317" s="2894" t="n"/>
      <c r="X317" s="2894">
        <f>' SET Cost(staf+OS)'!I417/1000</f>
        <v/>
      </c>
      <c r="Y317" s="2894" t="n"/>
      <c r="Z317" s="2892" t="n"/>
      <c r="AA317" s="2894" t="n"/>
      <c r="AB317" s="2894">
        <f>' SET Cost(staf+OS)'!J417/1000</f>
        <v/>
      </c>
      <c r="AC317" s="2894" t="n"/>
      <c r="AD317" s="2892" t="n"/>
      <c r="AE317" s="2894" t="n"/>
      <c r="AF317" s="2894">
        <f>' SET Cost(staf+OS)'!K417/1000</f>
        <v/>
      </c>
      <c r="AG317" s="2894" t="n"/>
      <c r="AH317" s="2892" t="n"/>
      <c r="AI317" s="2894" t="n"/>
      <c r="AJ317" s="2894">
        <f>' SET Cost(staf+OS)'!L417/1000</f>
        <v/>
      </c>
      <c r="AK317" s="2894" t="n"/>
      <c r="AL317" s="2895" t="n"/>
      <c r="AM317" s="2894" t="n"/>
      <c r="AN317" s="2894">
        <f>' SET Cost(staf+OS)'!M417/1000</f>
        <v/>
      </c>
      <c r="AO317" s="2894" t="n"/>
      <c r="AP317" s="2895" t="n"/>
      <c r="AQ317" s="2894" t="n"/>
      <c r="AR317" s="2894">
        <f>' SET Cost(staf+OS)'!N417/1000</f>
        <v/>
      </c>
      <c r="AS317" s="2894" t="n"/>
      <c r="AT317" s="2895" t="n"/>
      <c r="AU317" s="2894" t="n"/>
      <c r="AV317" s="2894">
        <f>' SET Cost(staf+OS)'!O417/1000</f>
        <v/>
      </c>
      <c r="AW317" s="2894" t="n"/>
      <c r="AX317" s="2895" t="n"/>
      <c r="AY317" s="2894" t="n"/>
      <c r="AZ317" s="2894">
        <f>SUM(C317:AW317)</f>
        <v/>
      </c>
      <c r="BA317" s="2894" t="n"/>
    </row>
    <row outlineLevel="1" r="318" s="1843" spans="1:55">
      <c r="A318" s="2896" t="s">
        <v>252</v>
      </c>
      <c r="B318" s="2897" t="n"/>
      <c r="C318" s="2896" t="n"/>
      <c r="D318" s="2894">
        <f>' SET Cost(staf+OS)'!D418/1000</f>
        <v/>
      </c>
      <c r="E318" s="2894" t="n"/>
      <c r="F318" s="2895" t="n"/>
      <c r="G318" s="2894" t="n"/>
      <c r="H318" s="2894">
        <f>' SET Cost(staf+OS)'!E418/1000</f>
        <v/>
      </c>
      <c r="I318" s="2894" t="n"/>
      <c r="J318" s="2895" t="n"/>
      <c r="K318" s="2894" t="n"/>
      <c r="L318" s="2894">
        <f>' SET Cost(staf+OS)'!F418/1000</f>
        <v/>
      </c>
      <c r="M318" s="2894" t="n"/>
      <c r="N318" s="2892" t="n"/>
      <c r="O318" s="2894" t="n"/>
      <c r="P318" s="2894">
        <f>' SET Cost(staf+OS)'!G418/1000</f>
        <v/>
      </c>
      <c r="Q318" s="2894" t="n"/>
      <c r="R318" s="2895" t="n"/>
      <c r="S318" s="2894" t="n"/>
      <c r="T318" s="2894">
        <f>' SET Cost(staf+OS)'!H418/1000</f>
        <v/>
      </c>
      <c r="U318" s="2894" t="n"/>
      <c r="V318" s="2892" t="n"/>
      <c r="W318" s="2894" t="n"/>
      <c r="X318" s="2894">
        <f>' SET Cost(staf+OS)'!I418/1000</f>
        <v/>
      </c>
      <c r="Y318" s="2894" t="n"/>
      <c r="Z318" s="2892" t="n"/>
      <c r="AA318" s="2894" t="n"/>
      <c r="AB318" s="2894">
        <f>' SET Cost(staf+OS)'!J418/1000</f>
        <v/>
      </c>
      <c r="AC318" s="2894" t="n"/>
      <c r="AD318" s="2892" t="n"/>
      <c r="AE318" s="2894" t="n"/>
      <c r="AF318" s="2894">
        <f>' SET Cost(staf+OS)'!K418/1000</f>
        <v/>
      </c>
      <c r="AG318" s="2894" t="n"/>
      <c r="AH318" s="2892" t="n"/>
      <c r="AI318" s="2894" t="n"/>
      <c r="AJ318" s="2894">
        <f>' SET Cost(staf+OS)'!L418/1000</f>
        <v/>
      </c>
      <c r="AK318" s="2894" t="n"/>
      <c r="AL318" s="2895" t="n"/>
      <c r="AM318" s="2894" t="n"/>
      <c r="AN318" s="2894">
        <f>' SET Cost(staf+OS)'!M418/1000</f>
        <v/>
      </c>
      <c r="AO318" s="2894" t="n"/>
      <c r="AP318" s="2895" t="n"/>
      <c r="AQ318" s="2894" t="n"/>
      <c r="AR318" s="2894">
        <f>' SET Cost(staf+OS)'!N418/1000</f>
        <v/>
      </c>
      <c r="AS318" s="2894" t="n"/>
      <c r="AT318" s="2895" t="n"/>
      <c r="AU318" s="2894" t="n"/>
      <c r="AV318" s="2894">
        <f>' SET Cost(staf+OS)'!O418/1000</f>
        <v/>
      </c>
      <c r="AW318" s="2896" t="n"/>
      <c r="AX318" s="2897" t="n"/>
      <c r="AY318" s="2896" t="n"/>
      <c r="AZ318" s="2896">
        <f>SUM(C318:AW318)</f>
        <v/>
      </c>
      <c r="BA318" s="2896" t="n"/>
    </row>
    <row customFormat="1" outlineLevel="1" r="319" s="2808" spans="1:55">
      <c r="A319" s="2899" t="s">
        <v>191</v>
      </c>
      <c r="B319" s="2897" t="n"/>
      <c r="C319" s="2900" t="n"/>
      <c r="D319" s="2894">
        <f>' SET Cost(staf+OS)'!D419/1000</f>
        <v/>
      </c>
      <c r="E319" s="2894" t="n"/>
      <c r="F319" s="2895" t="n"/>
      <c r="G319" s="2894" t="n"/>
      <c r="H319" s="2894">
        <f>' SET Cost(staf+OS)'!E419/1000</f>
        <v/>
      </c>
      <c r="I319" s="2894" t="n"/>
      <c r="J319" s="2895" t="n"/>
      <c r="K319" s="2894" t="n"/>
      <c r="L319" s="2894">
        <f>' SET Cost(staf+OS)'!F419/1000</f>
        <v/>
      </c>
      <c r="M319" s="2894" t="n"/>
      <c r="N319" s="2892" t="n"/>
      <c r="O319" s="2894" t="n"/>
      <c r="P319" s="2894">
        <f>' SET Cost(staf+OS)'!G419/1000</f>
        <v/>
      </c>
      <c r="Q319" s="2894" t="n"/>
      <c r="R319" s="2895" t="n"/>
      <c r="S319" s="2894" t="n"/>
      <c r="T319" s="2894">
        <f>' SET Cost(staf+OS)'!H419/1000</f>
        <v/>
      </c>
      <c r="U319" s="2894" t="n"/>
      <c r="V319" s="2892" t="n"/>
      <c r="W319" s="2894" t="n"/>
      <c r="X319" s="2894">
        <f>' SET Cost(staf+OS)'!I419/1000</f>
        <v/>
      </c>
      <c r="Y319" s="2894" t="n"/>
      <c r="Z319" s="2892" t="n"/>
      <c r="AA319" s="2894" t="n"/>
      <c r="AB319" s="2894">
        <f>' SET Cost(staf+OS)'!J419/1000</f>
        <v/>
      </c>
      <c r="AC319" s="2894" t="n"/>
      <c r="AD319" s="2892" t="n"/>
      <c r="AE319" s="2894" t="n"/>
      <c r="AF319" s="2894">
        <f>' SET Cost(staf+OS)'!K419/1000</f>
        <v/>
      </c>
      <c r="AG319" s="2894" t="n"/>
      <c r="AH319" s="2892" t="n"/>
      <c r="AI319" s="2894" t="n"/>
      <c r="AJ319" s="2894">
        <f>' SET Cost(staf+OS)'!L419/1000</f>
        <v/>
      </c>
      <c r="AK319" s="2894" t="n"/>
      <c r="AL319" s="2895" t="n"/>
      <c r="AM319" s="2894" t="n"/>
      <c r="AN319" s="2894">
        <f>' SET Cost(staf+OS)'!M419/1000</f>
        <v/>
      </c>
      <c r="AO319" s="2894" t="n"/>
      <c r="AP319" s="2895" t="n"/>
      <c r="AQ319" s="2894" t="n"/>
      <c r="AR319" s="2894">
        <f>' SET Cost(staf+OS)'!N419/1000</f>
        <v/>
      </c>
      <c r="AS319" s="2894" t="n"/>
      <c r="AT319" s="2895" t="n"/>
      <c r="AU319" s="2894" t="n"/>
      <c r="AV319" s="2894">
        <f>' SET Cost(staf+OS)'!O419/1000</f>
        <v/>
      </c>
      <c r="AW319" s="2900" t="n"/>
      <c r="AX319" s="2897" t="n"/>
      <c r="AY319" s="2900" t="n"/>
      <c r="AZ319" s="2899">
        <f>SUM(C319:AW319)</f>
        <v/>
      </c>
      <c r="BA319" s="2900" t="n"/>
    </row>
    <row customFormat="1" outlineLevel="1" r="320" s="2808" spans="1:55">
      <c r="A320" s="2899" t="s">
        <v>192</v>
      </c>
      <c r="B320" s="2897" t="n"/>
      <c r="C320" s="2900" t="n"/>
      <c r="D320" s="2894">
        <f>' SET Cost(staf+OS)'!D420/1000</f>
        <v/>
      </c>
      <c r="E320" s="2894" t="n"/>
      <c r="F320" s="2895" t="n"/>
      <c r="G320" s="2894" t="n"/>
      <c r="H320" s="2894">
        <f>' SET Cost(staf+OS)'!E420/1000</f>
        <v/>
      </c>
      <c r="I320" s="2894" t="n"/>
      <c r="J320" s="2895" t="n"/>
      <c r="K320" s="2894" t="n"/>
      <c r="L320" s="2894">
        <f>' SET Cost(staf+OS)'!F420/1000</f>
        <v/>
      </c>
      <c r="M320" s="2894" t="n"/>
      <c r="N320" s="2892" t="n"/>
      <c r="O320" s="2894" t="n"/>
      <c r="P320" s="2894">
        <f>' SET Cost(staf+OS)'!G420/1000</f>
        <v/>
      </c>
      <c r="Q320" s="2894" t="n"/>
      <c r="R320" s="2895" t="n"/>
      <c r="S320" s="2894" t="n"/>
      <c r="T320" s="2894">
        <f>' SET Cost(staf+OS)'!H420/1000</f>
        <v/>
      </c>
      <c r="U320" s="2894" t="n"/>
      <c r="V320" s="2892" t="n"/>
      <c r="W320" s="2894" t="n"/>
      <c r="X320" s="2894">
        <f>' SET Cost(staf+OS)'!I420/1000</f>
        <v/>
      </c>
      <c r="Y320" s="2894" t="n"/>
      <c r="Z320" s="2892" t="n"/>
      <c r="AA320" s="2894" t="n"/>
      <c r="AB320" s="2894">
        <f>' SET Cost(staf+OS)'!J420/1000</f>
        <v/>
      </c>
      <c r="AC320" s="2894" t="n"/>
      <c r="AD320" s="2892" t="n"/>
      <c r="AE320" s="2894" t="n"/>
      <c r="AF320" s="2894">
        <f>' SET Cost(staf+OS)'!K420/1000</f>
        <v/>
      </c>
      <c r="AG320" s="2894" t="n"/>
      <c r="AH320" s="2892" t="n"/>
      <c r="AI320" s="2894" t="n"/>
      <c r="AJ320" s="2894">
        <f>' SET Cost(staf+OS)'!L420/1000</f>
        <v/>
      </c>
      <c r="AK320" s="2894" t="n"/>
      <c r="AL320" s="2895" t="n"/>
      <c r="AM320" s="2894" t="n"/>
      <c r="AN320" s="2894">
        <f>' SET Cost(staf+OS)'!M420/1000</f>
        <v/>
      </c>
      <c r="AO320" s="2894" t="n"/>
      <c r="AP320" s="2895" t="n"/>
      <c r="AQ320" s="2894" t="n"/>
      <c r="AR320" s="2894">
        <f>' SET Cost(staf+OS)'!N420/1000</f>
        <v/>
      </c>
      <c r="AS320" s="2894" t="n"/>
      <c r="AT320" s="2895" t="n"/>
      <c r="AU320" s="2894" t="n"/>
      <c r="AV320" s="2894">
        <f>' SET Cost(staf+OS)'!O420/1000</f>
        <v/>
      </c>
      <c r="AW320" s="2900" t="n"/>
      <c r="AX320" s="2897" t="n"/>
      <c r="AY320" s="2900" t="n"/>
      <c r="AZ320" s="2899">
        <f>SUM(C320:AW320)</f>
        <v/>
      </c>
      <c r="BA320" s="2900" t="n"/>
    </row>
    <row customFormat="1" outlineLevel="1" r="321" s="2808" spans="1:55">
      <c r="A321" s="2899" t="s">
        <v>194</v>
      </c>
      <c r="B321" s="2897" t="n"/>
      <c r="C321" s="2900" t="n"/>
      <c r="D321" s="2900">
        <f>' SET Cost(staf+OS)'!D421/1000+'OS&amp;Travel Exp'!C58/1000</f>
        <v/>
      </c>
      <c r="E321" s="2900" t="n"/>
      <c r="F321" s="2900" t="n"/>
      <c r="G321" s="2900" t="n"/>
      <c r="H321" s="2900">
        <f>' SET Cost(staf+OS)'!E421/1000+'OS&amp;Travel Exp'!D58/1000</f>
        <v/>
      </c>
      <c r="I321" s="2900" t="n"/>
      <c r="J321" s="2900" t="n"/>
      <c r="K321" s="2900" t="n"/>
      <c r="L321" s="2900">
        <f>' SET Cost(staf+OS)'!F421/1000+'OS&amp;Travel Exp'!E58/1000</f>
        <v/>
      </c>
      <c r="M321" s="2900" t="n"/>
      <c r="N321" s="2900" t="n"/>
      <c r="O321" s="2900" t="n"/>
      <c r="P321" s="2900">
        <f>' SET Cost(staf+OS)'!G421/1000+'OS&amp;Travel Exp'!F58/1000</f>
        <v/>
      </c>
      <c r="Q321" s="2900" t="n"/>
      <c r="R321" s="2900" t="n"/>
      <c r="S321" s="2900" t="n"/>
      <c r="T321" s="2900">
        <f>' SET Cost(staf+OS)'!H421/1000+'OS&amp;Travel Exp'!G58/1000</f>
        <v/>
      </c>
      <c r="U321" s="2900" t="n"/>
      <c r="V321" s="2900" t="n"/>
      <c r="W321" s="2900" t="n"/>
      <c r="X321" s="2900">
        <f>' SET Cost(staf+OS)'!I421/1000+'OS&amp;Travel Exp'!H58/1000</f>
        <v/>
      </c>
      <c r="Y321" s="2900" t="n"/>
      <c r="Z321" s="2900" t="n"/>
      <c r="AA321" s="2900" t="n"/>
      <c r="AB321" s="2900">
        <f>' SET Cost(staf+OS)'!J421/1000+'OS&amp;Travel Exp'!I58/1000</f>
        <v/>
      </c>
      <c r="AC321" s="2900" t="n"/>
      <c r="AD321" s="2900" t="n"/>
      <c r="AE321" s="2900" t="n"/>
      <c r="AF321" s="2900">
        <f>' SET Cost(staf+OS)'!K421/1000+'OS&amp;Travel Exp'!J58/1000</f>
        <v/>
      </c>
      <c r="AG321" s="2900" t="n"/>
      <c r="AH321" s="2900" t="n"/>
      <c r="AI321" s="2900" t="n"/>
      <c r="AJ321" s="2900">
        <f>' SET Cost(staf+OS)'!L421/1000+'OS&amp;Travel Exp'!K58/1000</f>
        <v/>
      </c>
      <c r="AK321" s="2900" t="n"/>
      <c r="AL321" s="2900" t="n"/>
      <c r="AM321" s="2900" t="n"/>
      <c r="AN321" s="2900">
        <f>' SET Cost(staf+OS)'!M421/1000+'OS&amp;Travel Exp'!L58/1000</f>
        <v/>
      </c>
      <c r="AO321" s="2900" t="n"/>
      <c r="AP321" s="2900" t="n"/>
      <c r="AQ321" s="2900" t="n"/>
      <c r="AR321" s="2900">
        <f>' SET Cost(staf+OS)'!N421/1000+'OS&amp;Travel Exp'!M58/1000</f>
        <v/>
      </c>
      <c r="AS321" s="2900" t="n"/>
      <c r="AT321" s="2900" t="n"/>
      <c r="AU321" s="2900" t="n"/>
      <c r="AV321" s="2900">
        <f>' SET Cost(staf+OS)'!O421/1000+'OS&amp;Travel Exp'!N58/1000</f>
        <v/>
      </c>
      <c r="AW321" s="2900" t="n"/>
      <c r="AX321" s="2897" t="n"/>
      <c r="AY321" s="2900" t="n"/>
      <c r="AZ321" s="2899">
        <f>SUM(C321:AW321)</f>
        <v/>
      </c>
      <c r="BA321" s="2900" t="n"/>
    </row>
    <row customFormat="1" outlineLevel="1" r="322" s="2808" spans="1:55">
      <c r="A322" s="2899" t="s">
        <v>195</v>
      </c>
      <c r="B322" s="2897" t="n"/>
      <c r="C322" s="2899" t="n"/>
      <c r="D322" s="2899">
        <f>' SET Cost(staf+OS)'!D422/1000+'OS&amp;Travel Exp'!C35/1000</f>
        <v/>
      </c>
      <c r="E322" s="2899" t="n"/>
      <c r="F322" s="2899" t="n"/>
      <c r="G322" s="2899" t="n"/>
      <c r="H322" s="2899">
        <f>' SET Cost(staf+OS)'!E422/1000+'OS&amp;Travel Exp'!D35/1000</f>
        <v/>
      </c>
      <c r="I322" s="2899" t="n"/>
      <c r="J322" s="2899" t="n"/>
      <c r="K322" s="2899" t="n"/>
      <c r="L322" s="2899">
        <f>' SET Cost(staf+OS)'!F422/1000+'OS&amp;Travel Exp'!E35/1000</f>
        <v/>
      </c>
      <c r="M322" s="2899" t="n"/>
      <c r="N322" s="2899" t="n"/>
      <c r="O322" s="2899" t="n"/>
      <c r="P322" s="2899">
        <f>' SET Cost(staf+OS)'!G422/1000+'OS&amp;Travel Exp'!F35/1000</f>
        <v/>
      </c>
      <c r="Q322" s="2899" t="n"/>
      <c r="R322" s="2899" t="n"/>
      <c r="S322" s="2899" t="n"/>
      <c r="T322" s="2899">
        <f>' SET Cost(staf+OS)'!H422/1000+'OS&amp;Travel Exp'!G35/1000</f>
        <v/>
      </c>
      <c r="U322" s="2899" t="n"/>
      <c r="V322" s="2899" t="n"/>
      <c r="W322" s="2899" t="n"/>
      <c r="X322" s="2899">
        <f>' SET Cost(staf+OS)'!I422/1000+'OS&amp;Travel Exp'!H35/1000</f>
        <v/>
      </c>
      <c r="Y322" s="2899" t="n"/>
      <c r="Z322" s="2899" t="n"/>
      <c r="AA322" s="2899" t="n"/>
      <c r="AB322" s="2899">
        <f>' SET Cost(staf+OS)'!J422/1000+'OS&amp;Travel Exp'!I35/1000</f>
        <v/>
      </c>
      <c r="AC322" s="2899" t="n"/>
      <c r="AD322" s="2899" t="n"/>
      <c r="AE322" s="2899" t="n"/>
      <c r="AF322" s="2899">
        <f>' SET Cost(staf+OS)'!K422/1000+'OS&amp;Travel Exp'!J35/1000</f>
        <v/>
      </c>
      <c r="AG322" s="2899" t="n"/>
      <c r="AH322" s="2899" t="n"/>
      <c r="AI322" s="2899" t="n"/>
      <c r="AJ322" s="2899">
        <f>' SET Cost(staf+OS)'!L422/1000+'OS&amp;Travel Exp'!K35/1000</f>
        <v/>
      </c>
      <c r="AK322" s="2899" t="n"/>
      <c r="AL322" s="2899" t="n"/>
      <c r="AM322" s="2899" t="n"/>
      <c r="AN322" s="2899">
        <f>' SET Cost(staf+OS)'!M422/1000+'OS&amp;Travel Exp'!L35/1000</f>
        <v/>
      </c>
      <c r="AO322" s="2899" t="n"/>
      <c r="AP322" s="2899" t="n"/>
      <c r="AQ322" s="2899" t="n"/>
      <c r="AR322" s="2899">
        <f>' SET Cost(staf+OS)'!N422/1000+'OS&amp;Travel Exp'!M35/1000</f>
        <v/>
      </c>
      <c r="AS322" s="2899" t="n"/>
      <c r="AT322" s="2899" t="n"/>
      <c r="AU322" s="2899" t="n"/>
      <c r="AV322" s="2899">
        <f>' SET Cost(staf+OS)'!O422/1000+'OS&amp;Travel Exp'!N35/1000</f>
        <v/>
      </c>
      <c r="AW322" s="2899" t="n"/>
      <c r="AX322" s="2897" t="n"/>
      <c r="AY322" s="2899" t="n"/>
      <c r="AZ322" s="2899">
        <f>SUM(C322:AW322)</f>
        <v/>
      </c>
      <c r="BA322" s="2899" t="n"/>
    </row>
    <row customFormat="1" outlineLevel="1" r="323" s="2808" spans="1:55">
      <c r="A323" s="2794" t="s">
        <v>366</v>
      </c>
      <c r="B323" s="2793" t="n"/>
      <c r="C323" s="2794" t="n"/>
      <c r="D323" s="2844">
        <f>'OS&amp;Travel Exp'!C10</f>
        <v/>
      </c>
      <c r="E323" s="2844" t="n"/>
      <c r="F323" s="2793" t="n"/>
      <c r="G323" s="2844" t="n"/>
      <c r="H323" s="2844">
        <f>'OS&amp;Travel Exp'!D10</f>
        <v/>
      </c>
      <c r="I323" s="2844" t="n"/>
      <c r="J323" s="2793" t="n"/>
      <c r="K323" s="2844" t="n"/>
      <c r="L323" s="2844">
        <f>'OS&amp;Travel Exp'!E10</f>
        <v/>
      </c>
      <c r="M323" s="2844" t="n"/>
      <c r="N323" s="2795" t="n"/>
      <c r="O323" s="2844" t="n"/>
      <c r="P323" s="2844">
        <f>'OS&amp;Travel Exp'!F10</f>
        <v/>
      </c>
      <c r="Q323" s="2844" t="n"/>
      <c r="R323" s="2793" t="n"/>
      <c r="S323" s="2844" t="n"/>
      <c r="T323" s="2844">
        <f>'OS&amp;Travel Exp'!G10</f>
        <v/>
      </c>
      <c r="U323" s="2844" t="n"/>
      <c r="V323" s="2795" t="n"/>
      <c r="W323" s="2844" t="n"/>
      <c r="X323" s="2844">
        <f>'OS&amp;Travel Exp'!H10</f>
        <v/>
      </c>
      <c r="Y323" s="2844" t="n"/>
      <c r="Z323" s="2795" t="n"/>
      <c r="AA323" s="2844" t="n"/>
      <c r="AB323" s="2844">
        <f>'OS&amp;Travel Exp'!I10</f>
        <v/>
      </c>
      <c r="AC323" s="2844" t="n"/>
      <c r="AD323" s="2795" t="n"/>
      <c r="AE323" s="2844" t="n"/>
      <c r="AF323" s="2844">
        <f>'OS&amp;Travel Exp'!J10</f>
        <v/>
      </c>
      <c r="AG323" s="2844" t="n"/>
      <c r="AH323" s="2795" t="n"/>
      <c r="AI323" s="2844" t="n"/>
      <c r="AJ323" s="2844">
        <f>'OS&amp;Travel Exp'!K10</f>
        <v/>
      </c>
      <c r="AK323" s="2844" t="n"/>
      <c r="AL323" s="2793" t="n"/>
      <c r="AM323" s="2844" t="n"/>
      <c r="AN323" s="2844">
        <f>'OS&amp;Travel Exp'!L10</f>
        <v/>
      </c>
      <c r="AO323" s="2844" t="n"/>
      <c r="AP323" s="2793" t="n"/>
      <c r="AQ323" s="2844" t="n"/>
      <c r="AR323" s="2844">
        <f>'OS&amp;Travel Exp'!M10</f>
        <v/>
      </c>
      <c r="AS323" s="2844" t="n"/>
      <c r="AT323" s="2793" t="n"/>
      <c r="AU323" s="2844" t="n"/>
      <c r="AV323" s="2844">
        <f>'OS&amp;Travel Exp'!N10</f>
        <v/>
      </c>
      <c r="AW323" s="2794" t="n"/>
      <c r="AX323" s="2793" t="n"/>
      <c r="AY323" s="2794" t="n"/>
      <c r="AZ323" s="2792">
        <f>SUM(C323:AW323)</f>
        <v/>
      </c>
      <c r="BA323" s="2900" t="n"/>
    </row>
    <row customFormat="1" outlineLevel="1" r="324" s="2808" spans="1:55">
      <c r="A324" s="2899" t="s">
        <v>161</v>
      </c>
      <c r="B324" s="2897" t="n"/>
      <c r="C324" s="2899" t="n"/>
      <c r="D324" s="2894">
        <f>' SET Cost(staf+OS)'!D424/1000</f>
        <v/>
      </c>
      <c r="E324" s="2894" t="n"/>
      <c r="F324" s="2895" t="n"/>
      <c r="G324" s="2894" t="n"/>
      <c r="H324" s="2894">
        <f>' SET Cost(staf+OS)'!E424/1000</f>
        <v/>
      </c>
      <c r="I324" s="2894" t="n"/>
      <c r="J324" s="2895" t="n"/>
      <c r="K324" s="2894" t="n"/>
      <c r="L324" s="2894">
        <f>' SET Cost(staf+OS)'!F424/1000</f>
        <v/>
      </c>
      <c r="M324" s="2894" t="n"/>
      <c r="N324" s="2892" t="n"/>
      <c r="O324" s="2894" t="n"/>
      <c r="P324" s="2894">
        <f>' SET Cost(staf+OS)'!G424/1000</f>
        <v/>
      </c>
      <c r="Q324" s="2894" t="n"/>
      <c r="R324" s="2895" t="n"/>
      <c r="S324" s="2894" t="n"/>
      <c r="T324" s="2894">
        <f>' SET Cost(staf+OS)'!H424/1000</f>
        <v/>
      </c>
      <c r="U324" s="2894" t="n"/>
      <c r="V324" s="2892" t="n"/>
      <c r="W324" s="2894" t="n"/>
      <c r="X324" s="2894">
        <f>' SET Cost(staf+OS)'!I424/1000</f>
        <v/>
      </c>
      <c r="Y324" s="2894" t="n"/>
      <c r="Z324" s="2892" t="n"/>
      <c r="AA324" s="2894" t="n"/>
      <c r="AB324" s="2894">
        <f>' SET Cost(staf+OS)'!J424/1000</f>
        <v/>
      </c>
      <c r="AC324" s="2894" t="n"/>
      <c r="AD324" s="2892" t="n"/>
      <c r="AE324" s="2894" t="n"/>
      <c r="AF324" s="2894">
        <f>' SET Cost(staf+OS)'!K424/1000</f>
        <v/>
      </c>
      <c r="AG324" s="2894" t="n"/>
      <c r="AH324" s="2892" t="n"/>
      <c r="AI324" s="2894" t="n"/>
      <c r="AJ324" s="2894">
        <f>' SET Cost(staf+OS)'!L424/1000</f>
        <v/>
      </c>
      <c r="AK324" s="2894" t="n"/>
      <c r="AL324" s="2895" t="n"/>
      <c r="AM324" s="2894" t="n"/>
      <c r="AN324" s="2894">
        <f>' SET Cost(staf+OS)'!M424/1000</f>
        <v/>
      </c>
      <c r="AO324" s="2894" t="n"/>
      <c r="AP324" s="2895" t="n"/>
      <c r="AQ324" s="2894" t="n"/>
      <c r="AR324" s="2894">
        <f>' SET Cost(staf+OS)'!N424/1000</f>
        <v/>
      </c>
      <c r="AS324" s="2894" t="n"/>
      <c r="AT324" s="2895" t="n"/>
      <c r="AU324" s="2894" t="n"/>
      <c r="AV324" s="2894">
        <f>' SET Cost(staf+OS)'!O424/1000</f>
        <v/>
      </c>
      <c r="AW324" s="2899" t="n"/>
      <c r="AX324" s="2897" t="n"/>
      <c r="AY324" s="2899" t="n"/>
      <c r="AZ324" s="2899">
        <f>SUM(C324:AW324)</f>
        <v/>
      </c>
      <c r="BA324" s="2899" t="n"/>
    </row>
    <row customFormat="1" outlineLevel="1" r="325" s="2808" spans="1:55">
      <c r="A325" s="2902" t="s">
        <v>367</v>
      </c>
      <c r="B325" s="2897" t="n"/>
      <c r="C325" s="2900" t="n"/>
      <c r="D325" s="2894">
        <f>' SET Cost(staf+OS)'!D425/1000</f>
        <v/>
      </c>
      <c r="E325" s="2894" t="n"/>
      <c r="F325" s="2895" t="n"/>
      <c r="G325" s="2894" t="n"/>
      <c r="H325" s="2894">
        <f>' SET Cost(staf+OS)'!E425/1000</f>
        <v/>
      </c>
      <c r="I325" s="2894" t="n"/>
      <c r="J325" s="2895" t="n"/>
      <c r="K325" s="2894" t="n"/>
      <c r="L325" s="2894">
        <f>' SET Cost(staf+OS)'!F425/1000</f>
        <v/>
      </c>
      <c r="M325" s="2894" t="n"/>
      <c r="N325" s="2892" t="n"/>
      <c r="O325" s="2894" t="n"/>
      <c r="P325" s="2894">
        <f>' SET Cost(staf+OS)'!G425/1000</f>
        <v/>
      </c>
      <c r="Q325" s="2894" t="n"/>
      <c r="R325" s="2895" t="n"/>
      <c r="S325" s="2894" t="n"/>
      <c r="T325" s="2894">
        <f>' SET Cost(staf+OS)'!H425/1000</f>
        <v/>
      </c>
      <c r="U325" s="2894" t="n"/>
      <c r="V325" s="2892" t="n"/>
      <c r="W325" s="2894" t="n"/>
      <c r="X325" s="2894">
        <f>' SET Cost(staf+OS)'!I425/1000</f>
        <v/>
      </c>
      <c r="Y325" s="2894" t="n"/>
      <c r="Z325" s="2892" t="n"/>
      <c r="AA325" s="2894" t="n"/>
      <c r="AB325" s="2894">
        <f>' SET Cost(staf+OS)'!J425/1000</f>
        <v/>
      </c>
      <c r="AC325" s="2894" t="n"/>
      <c r="AD325" s="2892" t="n"/>
      <c r="AE325" s="2894" t="n"/>
      <c r="AF325" s="2894">
        <f>' SET Cost(staf+OS)'!K425/1000</f>
        <v/>
      </c>
      <c r="AG325" s="2894" t="n"/>
      <c r="AH325" s="2892" t="n"/>
      <c r="AI325" s="2894" t="n"/>
      <c r="AJ325" s="2894">
        <f>' SET Cost(staf+OS)'!L425/1000</f>
        <v/>
      </c>
      <c r="AK325" s="2894" t="n"/>
      <c r="AL325" s="2895" t="n"/>
      <c r="AM325" s="2894" t="n"/>
      <c r="AN325" s="2894">
        <f>' SET Cost(staf+OS)'!M425/1000</f>
        <v/>
      </c>
      <c r="AO325" s="2894" t="n"/>
      <c r="AP325" s="2895" t="n"/>
      <c r="AQ325" s="2894" t="n"/>
      <c r="AR325" s="2894">
        <f>' SET Cost(staf+OS)'!N425/1000</f>
        <v/>
      </c>
      <c r="AS325" s="2894" t="n"/>
      <c r="AT325" s="2895" t="n"/>
      <c r="AU325" s="2894" t="n"/>
      <c r="AV325" s="2894">
        <f>' SET Cost(staf+OS)'!O425/1000</f>
        <v/>
      </c>
      <c r="AW325" s="2900" t="n"/>
      <c r="AX325" s="2897" t="n"/>
      <c r="AY325" s="2900" t="n"/>
      <c r="AZ325" s="2899">
        <f>SUM(C325:AW325)</f>
        <v/>
      </c>
      <c r="BA325" s="2900" t="n"/>
    </row>
    <row customFormat="1" outlineLevel="1" r="326" s="2808" spans="1:55">
      <c r="A326" s="2899" t="s">
        <v>232</v>
      </c>
      <c r="B326" s="2897" t="n"/>
      <c r="C326" s="2899" t="n"/>
      <c r="D326" s="2894">
        <f>' SET Cost(staf+OS)'!D426/1000</f>
        <v/>
      </c>
      <c r="E326" s="2894" t="n"/>
      <c r="F326" s="2895" t="n"/>
      <c r="G326" s="2894" t="n"/>
      <c r="H326" s="2894">
        <f>' SET Cost(staf+OS)'!E426/1000</f>
        <v/>
      </c>
      <c r="I326" s="2894" t="n"/>
      <c r="J326" s="2895" t="n"/>
      <c r="K326" s="2894" t="n"/>
      <c r="L326" s="2894">
        <f>' SET Cost(staf+OS)'!F426/1000</f>
        <v/>
      </c>
      <c r="M326" s="2894" t="n"/>
      <c r="N326" s="2892" t="n"/>
      <c r="O326" s="2894" t="n"/>
      <c r="P326" s="2894">
        <f>' SET Cost(staf+OS)'!G426/1000</f>
        <v/>
      </c>
      <c r="Q326" s="2894" t="n"/>
      <c r="R326" s="2895" t="n"/>
      <c r="S326" s="2894" t="n"/>
      <c r="T326" s="2894">
        <f>' SET Cost(staf+OS)'!H426/1000</f>
        <v/>
      </c>
      <c r="U326" s="2894" t="n"/>
      <c r="V326" s="2892" t="n"/>
      <c r="W326" s="2894" t="n"/>
      <c r="X326" s="2894">
        <f>' SET Cost(staf+OS)'!I426/1000</f>
        <v/>
      </c>
      <c r="Y326" s="2894" t="n"/>
      <c r="Z326" s="2892" t="n"/>
      <c r="AA326" s="2894" t="n"/>
      <c r="AB326" s="2894">
        <f>' SET Cost(staf+OS)'!J426/1000</f>
        <v/>
      </c>
      <c r="AC326" s="2894" t="n"/>
      <c r="AD326" s="2892" t="n"/>
      <c r="AE326" s="2894" t="n"/>
      <c r="AF326" s="2894">
        <f>' SET Cost(staf+OS)'!K426/1000</f>
        <v/>
      </c>
      <c r="AG326" s="2894" t="n"/>
      <c r="AH326" s="2892" t="n"/>
      <c r="AI326" s="2894" t="n"/>
      <c r="AJ326" s="2894">
        <f>' SET Cost(staf+OS)'!L426/1000</f>
        <v/>
      </c>
      <c r="AK326" s="2894" t="n"/>
      <c r="AL326" s="2895" t="n"/>
      <c r="AM326" s="2894" t="n"/>
      <c r="AN326" s="2894">
        <f>' SET Cost(staf+OS)'!M426/1000</f>
        <v/>
      </c>
      <c r="AO326" s="2894" t="n"/>
      <c r="AP326" s="2895" t="n"/>
      <c r="AQ326" s="2894" t="n"/>
      <c r="AR326" s="2894">
        <f>' SET Cost(staf+OS)'!N426/1000</f>
        <v/>
      </c>
      <c r="AS326" s="2894" t="n"/>
      <c r="AT326" s="2895" t="n"/>
      <c r="AU326" s="2894" t="n"/>
      <c r="AV326" s="2894">
        <f>' SET Cost(staf+OS)'!O426/1000</f>
        <v/>
      </c>
      <c r="AW326" s="2899" t="n"/>
      <c r="AX326" s="2897" t="n"/>
      <c r="AY326" s="2899" t="n"/>
      <c r="AZ326" s="2899">
        <f>SUM(C326:AW326)</f>
        <v/>
      </c>
      <c r="BA326" s="2899" t="n"/>
    </row>
    <row customFormat="1" outlineLevel="1" r="327" s="2808" spans="1:55">
      <c r="A327" s="2899" t="s">
        <v>233</v>
      </c>
      <c r="B327" s="2897" t="n"/>
      <c r="C327" s="2899" t="n"/>
      <c r="D327" s="2894">
        <f>' SET Cost(staf+OS)'!D427/1000</f>
        <v/>
      </c>
      <c r="E327" s="2894" t="n"/>
      <c r="F327" s="2895" t="n"/>
      <c r="G327" s="2894" t="n"/>
      <c r="H327" s="2894">
        <f>' SET Cost(staf+OS)'!E427/1000</f>
        <v/>
      </c>
      <c r="I327" s="2894" t="n"/>
      <c r="J327" s="2895" t="n"/>
      <c r="K327" s="2894" t="n"/>
      <c r="L327" s="2894">
        <f>' SET Cost(staf+OS)'!F427/1000</f>
        <v/>
      </c>
      <c r="M327" s="2894" t="n"/>
      <c r="N327" s="2892" t="n"/>
      <c r="O327" s="2894" t="n"/>
      <c r="P327" s="2894">
        <f>' SET Cost(staf+OS)'!G427/1000</f>
        <v/>
      </c>
      <c r="Q327" s="2894" t="n"/>
      <c r="R327" s="2895" t="n"/>
      <c r="S327" s="2894" t="n"/>
      <c r="T327" s="2894">
        <f>' SET Cost(staf+OS)'!H427/1000</f>
        <v/>
      </c>
      <c r="U327" s="2894" t="n"/>
      <c r="V327" s="2892" t="n"/>
      <c r="W327" s="2894" t="n"/>
      <c r="X327" s="2894">
        <f>' SET Cost(staf+OS)'!I427/1000</f>
        <v/>
      </c>
      <c r="Y327" s="2894" t="n"/>
      <c r="Z327" s="2892" t="n"/>
      <c r="AA327" s="2894" t="n"/>
      <c r="AB327" s="2894">
        <f>' SET Cost(staf+OS)'!J427/1000</f>
        <v/>
      </c>
      <c r="AC327" s="2894" t="n"/>
      <c r="AD327" s="2892" t="n"/>
      <c r="AE327" s="2894" t="n"/>
      <c r="AF327" s="2894">
        <f>' SET Cost(staf+OS)'!K427/1000</f>
        <v/>
      </c>
      <c r="AG327" s="2894" t="n"/>
      <c r="AH327" s="2892" t="n"/>
      <c r="AI327" s="2894" t="n"/>
      <c r="AJ327" s="2894">
        <f>' SET Cost(staf+OS)'!L427/1000</f>
        <v/>
      </c>
      <c r="AK327" s="2894" t="n"/>
      <c r="AL327" s="2895" t="n"/>
      <c r="AM327" s="2894" t="n"/>
      <c r="AN327" s="2894">
        <f>' SET Cost(staf+OS)'!M427/1000</f>
        <v/>
      </c>
      <c r="AO327" s="2894" t="n"/>
      <c r="AP327" s="2895" t="n"/>
      <c r="AQ327" s="2894" t="n"/>
      <c r="AR327" s="2894">
        <f>' SET Cost(staf+OS)'!N427/1000</f>
        <v/>
      </c>
      <c r="AS327" s="2894" t="n"/>
      <c r="AT327" s="2895" t="n"/>
      <c r="AU327" s="2894" t="n"/>
      <c r="AV327" s="2894">
        <f>' SET Cost(staf+OS)'!O427/1000</f>
        <v/>
      </c>
      <c r="AW327" s="2899" t="n"/>
      <c r="AX327" s="2897" t="n"/>
      <c r="AY327" s="2899" t="n"/>
      <c r="AZ327" s="2899">
        <f>SUM(C327:AW327)</f>
        <v/>
      </c>
      <c r="BA327" s="2899" t="n"/>
    </row>
    <row customFormat="1" outlineLevel="1" r="328" s="2808" spans="1:55">
      <c r="A328" s="2902" t="s">
        <v>368</v>
      </c>
      <c r="B328" s="2897" t="n"/>
      <c r="C328" s="2900" t="n"/>
      <c r="D328" s="2894">
        <f>' SET Cost(staf+OS)'!D428/1000</f>
        <v/>
      </c>
      <c r="E328" s="2894" t="n"/>
      <c r="F328" s="2895" t="n"/>
      <c r="G328" s="2894" t="n"/>
      <c r="H328" s="2894">
        <f>' SET Cost(staf+OS)'!E428/1000</f>
        <v/>
      </c>
      <c r="I328" s="2894" t="n"/>
      <c r="J328" s="2895" t="n"/>
      <c r="K328" s="2894" t="n"/>
      <c r="L328" s="2894">
        <f>' SET Cost(staf+OS)'!F428/1000</f>
        <v/>
      </c>
      <c r="M328" s="2894" t="n"/>
      <c r="N328" s="2892" t="n"/>
      <c r="O328" s="2894" t="n"/>
      <c r="P328" s="2894">
        <f>' SET Cost(staf+OS)'!G428/1000</f>
        <v/>
      </c>
      <c r="Q328" s="2894" t="n"/>
      <c r="R328" s="2895" t="n"/>
      <c r="S328" s="2894" t="n"/>
      <c r="T328" s="2894">
        <f>' SET Cost(staf+OS)'!H428/1000</f>
        <v/>
      </c>
      <c r="U328" s="2894" t="n"/>
      <c r="V328" s="2892" t="n"/>
      <c r="W328" s="2894" t="n"/>
      <c r="X328" s="2894">
        <f>' SET Cost(staf+OS)'!I428/1000</f>
        <v/>
      </c>
      <c r="Y328" s="2894" t="n"/>
      <c r="Z328" s="2892" t="n"/>
      <c r="AA328" s="2894" t="n"/>
      <c r="AB328" s="2894">
        <f>' SET Cost(staf+OS)'!J428/1000</f>
        <v/>
      </c>
      <c r="AC328" s="2894" t="n"/>
      <c r="AD328" s="2892" t="n"/>
      <c r="AE328" s="2894" t="n"/>
      <c r="AF328" s="2894">
        <f>' SET Cost(staf+OS)'!K428/1000</f>
        <v/>
      </c>
      <c r="AG328" s="2894" t="n"/>
      <c r="AH328" s="2892" t="n"/>
      <c r="AI328" s="2894" t="n"/>
      <c r="AJ328" s="2894">
        <f>' SET Cost(staf+OS)'!L428/1000</f>
        <v/>
      </c>
      <c r="AK328" s="2894" t="n"/>
      <c r="AL328" s="2895" t="n"/>
      <c r="AM328" s="2894" t="n"/>
      <c r="AN328" s="2894">
        <f>' SET Cost(staf+OS)'!M428/1000</f>
        <v/>
      </c>
      <c r="AO328" s="2894" t="n"/>
      <c r="AP328" s="2895" t="n"/>
      <c r="AQ328" s="2894" t="n"/>
      <c r="AR328" s="2894">
        <f>' SET Cost(staf+OS)'!N428/1000</f>
        <v/>
      </c>
      <c r="AS328" s="2894" t="n"/>
      <c r="AT328" s="2895" t="n"/>
      <c r="AU328" s="2894" t="n"/>
      <c r="AV328" s="2894">
        <f>' SET Cost(staf+OS)'!O428/1000</f>
        <v/>
      </c>
      <c r="AW328" s="2900" t="n"/>
      <c r="AX328" s="2897" t="n"/>
      <c r="AY328" s="2900" t="n"/>
      <c r="AZ328" s="2899">
        <f>SUM(C328:AW328)</f>
        <v/>
      </c>
      <c r="BA328" s="2900" t="n"/>
    </row>
    <row customFormat="1" outlineLevel="1" r="329" s="2808" spans="1:55">
      <c r="A329" s="2902" t="s">
        <v>369</v>
      </c>
      <c r="B329" s="2897" t="n"/>
      <c r="C329" s="2900" t="n"/>
      <c r="D329" s="2894">
        <f>' SET Cost(staf+OS)'!D429/1000</f>
        <v/>
      </c>
      <c r="E329" s="2894" t="n"/>
      <c r="F329" s="2895" t="n"/>
      <c r="G329" s="2894" t="n"/>
      <c r="H329" s="2894">
        <f>' SET Cost(staf+OS)'!E429/1000</f>
        <v/>
      </c>
      <c r="I329" s="2894" t="n"/>
      <c r="J329" s="2895" t="n"/>
      <c r="K329" s="2894" t="n"/>
      <c r="L329" s="2894">
        <f>' SET Cost(staf+OS)'!F429/1000</f>
        <v/>
      </c>
      <c r="M329" s="2894" t="n"/>
      <c r="N329" s="2892" t="n"/>
      <c r="O329" s="2894" t="n"/>
      <c r="P329" s="2894">
        <f>' SET Cost(staf+OS)'!G429/1000</f>
        <v/>
      </c>
      <c r="Q329" s="2894" t="n"/>
      <c r="R329" s="2895" t="n"/>
      <c r="S329" s="2894" t="n"/>
      <c r="T329" s="2894">
        <f>' SET Cost(staf+OS)'!H429/1000</f>
        <v/>
      </c>
      <c r="U329" s="2894" t="n"/>
      <c r="V329" s="2892" t="n"/>
      <c r="W329" s="2894" t="n"/>
      <c r="X329" s="2894">
        <f>' SET Cost(staf+OS)'!I429/1000</f>
        <v/>
      </c>
      <c r="Y329" s="2894" t="n"/>
      <c r="Z329" s="2892" t="n"/>
      <c r="AA329" s="2894" t="n"/>
      <c r="AB329" s="2894">
        <f>' SET Cost(staf+OS)'!J429/1000</f>
        <v/>
      </c>
      <c r="AC329" s="2894" t="n"/>
      <c r="AD329" s="2892" t="n"/>
      <c r="AE329" s="2894" t="n"/>
      <c r="AF329" s="2894">
        <f>' SET Cost(staf+OS)'!K429/1000</f>
        <v/>
      </c>
      <c r="AG329" s="2894" t="n"/>
      <c r="AH329" s="2892" t="n"/>
      <c r="AI329" s="2894" t="n"/>
      <c r="AJ329" s="2894">
        <f>' SET Cost(staf+OS)'!L429/1000</f>
        <v/>
      </c>
      <c r="AK329" s="2894" t="n"/>
      <c r="AL329" s="2895" t="n"/>
      <c r="AM329" s="2894" t="n"/>
      <c r="AN329" s="2894">
        <f>' SET Cost(staf+OS)'!M429/1000</f>
        <v/>
      </c>
      <c r="AO329" s="2894" t="n"/>
      <c r="AP329" s="2895" t="n"/>
      <c r="AQ329" s="2894" t="n"/>
      <c r="AR329" s="2894">
        <f>' SET Cost(staf+OS)'!N429/1000</f>
        <v/>
      </c>
      <c r="AS329" s="2894" t="n"/>
      <c r="AT329" s="2895" t="n"/>
      <c r="AU329" s="2894" t="n"/>
      <c r="AV329" s="2894">
        <f>' SET Cost(staf+OS)'!O429/1000</f>
        <v/>
      </c>
      <c r="AW329" s="2900" t="n"/>
      <c r="AX329" s="2897" t="n"/>
      <c r="AY329" s="2900" t="n"/>
      <c r="AZ329" s="2899">
        <f>SUM(C329:AW329)</f>
        <v/>
      </c>
      <c r="BA329" s="2900" t="n"/>
    </row>
    <row customFormat="1" outlineLevel="1" r="330" s="2808" spans="1:55">
      <c r="A330" s="2902" t="s">
        <v>370</v>
      </c>
      <c r="B330" s="2897" t="n"/>
      <c r="C330" s="2900" t="n"/>
      <c r="D330" s="2894">
        <f>' SET Cost(staf+OS)'!D430/1000</f>
        <v/>
      </c>
      <c r="E330" s="2894" t="n"/>
      <c r="F330" s="2895" t="n"/>
      <c r="G330" s="2894" t="n"/>
      <c r="H330" s="2894">
        <f>' SET Cost(staf+OS)'!E430/1000</f>
        <v/>
      </c>
      <c r="I330" s="2894" t="n"/>
      <c r="J330" s="2895" t="n"/>
      <c r="K330" s="2894" t="n"/>
      <c r="L330" s="2894">
        <f>' SET Cost(staf+OS)'!F430/1000</f>
        <v/>
      </c>
      <c r="M330" s="2894" t="n"/>
      <c r="N330" s="2892" t="n"/>
      <c r="O330" s="2894" t="n"/>
      <c r="P330" s="2894">
        <f>' SET Cost(staf+OS)'!G430/1000</f>
        <v/>
      </c>
      <c r="Q330" s="2894" t="n"/>
      <c r="R330" s="2895" t="n"/>
      <c r="S330" s="2894" t="n"/>
      <c r="T330" s="2894">
        <f>' SET Cost(staf+OS)'!H430/1000</f>
        <v/>
      </c>
      <c r="U330" s="2894" t="n"/>
      <c r="V330" s="2892" t="n"/>
      <c r="W330" s="2894" t="n"/>
      <c r="X330" s="2894">
        <f>' SET Cost(staf+OS)'!I430/1000</f>
        <v/>
      </c>
      <c r="Y330" s="2894" t="n"/>
      <c r="Z330" s="2892" t="n"/>
      <c r="AA330" s="2894" t="n"/>
      <c r="AB330" s="2894">
        <f>' SET Cost(staf+OS)'!J430/1000</f>
        <v/>
      </c>
      <c r="AC330" s="2894" t="n"/>
      <c r="AD330" s="2892" t="n"/>
      <c r="AE330" s="2894" t="n"/>
      <c r="AF330" s="2894">
        <f>' SET Cost(staf+OS)'!K430/1000</f>
        <v/>
      </c>
      <c r="AG330" s="2894" t="n"/>
      <c r="AH330" s="2892" t="n"/>
      <c r="AI330" s="2894" t="n"/>
      <c r="AJ330" s="2894">
        <f>' SET Cost(staf+OS)'!L430/1000</f>
        <v/>
      </c>
      <c r="AK330" s="2894" t="n"/>
      <c r="AL330" s="2895" t="n"/>
      <c r="AM330" s="2894" t="n"/>
      <c r="AN330" s="2894">
        <f>' SET Cost(staf+OS)'!M430/1000</f>
        <v/>
      </c>
      <c r="AO330" s="2894" t="n"/>
      <c r="AP330" s="2895" t="n"/>
      <c r="AQ330" s="2894" t="n"/>
      <c r="AR330" s="2894">
        <f>' SET Cost(staf+OS)'!N430/1000</f>
        <v/>
      </c>
      <c r="AS330" s="2894" t="n"/>
      <c r="AT330" s="2895" t="n"/>
      <c r="AU330" s="2894" t="n"/>
      <c r="AV330" s="2894">
        <f>' SET Cost(staf+OS)'!O430/1000</f>
        <v/>
      </c>
      <c r="AW330" s="2900" t="n"/>
      <c r="AX330" s="2897" t="n"/>
      <c r="AY330" s="2900" t="n"/>
      <c r="AZ330" s="2899">
        <f>SUM(C330:AW330)</f>
        <v/>
      </c>
      <c r="BA330" s="2900" t="n"/>
    </row>
    <row customFormat="1" outlineLevel="1" r="331" s="2808" spans="1:55">
      <c r="A331" s="2902" t="s">
        <v>371</v>
      </c>
      <c r="B331" s="2897" t="n"/>
      <c r="C331" s="2900" t="n"/>
      <c r="D331" s="2894">
        <f>' SET Cost(staf+OS)'!D431/1000</f>
        <v/>
      </c>
      <c r="E331" s="2894" t="n"/>
      <c r="F331" s="2895" t="n"/>
      <c r="G331" s="2894" t="n"/>
      <c r="H331" s="2894">
        <f>' SET Cost(staf+OS)'!E431/1000</f>
        <v/>
      </c>
      <c r="I331" s="2894" t="n"/>
      <c r="J331" s="2895" t="n"/>
      <c r="K331" s="2894" t="n"/>
      <c r="L331" s="2894">
        <f>' SET Cost(staf+OS)'!F431/1000</f>
        <v/>
      </c>
      <c r="M331" s="2894" t="n"/>
      <c r="N331" s="2892" t="n"/>
      <c r="O331" s="2894" t="n"/>
      <c r="P331" s="2894">
        <f>' SET Cost(staf+OS)'!G431/1000</f>
        <v/>
      </c>
      <c r="Q331" s="2894" t="n"/>
      <c r="R331" s="2895" t="n"/>
      <c r="S331" s="2894" t="n"/>
      <c r="T331" s="2894">
        <f>' SET Cost(staf+OS)'!H431/1000</f>
        <v/>
      </c>
      <c r="U331" s="2894" t="n"/>
      <c r="V331" s="2892" t="n"/>
      <c r="W331" s="2894" t="n"/>
      <c r="X331" s="2894">
        <f>' SET Cost(staf+OS)'!I431/1000</f>
        <v/>
      </c>
      <c r="Y331" s="2894" t="n"/>
      <c r="Z331" s="2892" t="n"/>
      <c r="AA331" s="2894" t="n"/>
      <c r="AB331" s="2894">
        <f>' SET Cost(staf+OS)'!J431/1000</f>
        <v/>
      </c>
      <c r="AC331" s="2894" t="n"/>
      <c r="AD331" s="2892" t="n"/>
      <c r="AE331" s="2894" t="n"/>
      <c r="AF331" s="2894">
        <f>' SET Cost(staf+OS)'!K431/1000</f>
        <v/>
      </c>
      <c r="AG331" s="2894" t="n"/>
      <c r="AH331" s="2892" t="n"/>
      <c r="AI331" s="2894" t="n"/>
      <c r="AJ331" s="2894">
        <f>' SET Cost(staf+OS)'!L431/1000</f>
        <v/>
      </c>
      <c r="AK331" s="2894" t="n"/>
      <c r="AL331" s="2895" t="n"/>
      <c r="AM331" s="2894" t="n"/>
      <c r="AN331" s="2894">
        <f>' SET Cost(staf+OS)'!M431/1000</f>
        <v/>
      </c>
      <c r="AO331" s="2894" t="n"/>
      <c r="AP331" s="2895" t="n"/>
      <c r="AQ331" s="2894" t="n"/>
      <c r="AR331" s="2894">
        <f>' SET Cost(staf+OS)'!N431/1000</f>
        <v/>
      </c>
      <c r="AS331" s="2894" t="n"/>
      <c r="AT331" s="2895" t="n"/>
      <c r="AU331" s="2894" t="n"/>
      <c r="AV331" s="2894">
        <f>' SET Cost(staf+OS)'!O431/1000</f>
        <v/>
      </c>
      <c r="AW331" s="2900" t="n"/>
      <c r="AX331" s="2897" t="n"/>
      <c r="AY331" s="2900" t="n"/>
      <c r="AZ331" s="2899">
        <f>SUM(C331:AW331)</f>
        <v/>
      </c>
      <c r="BA331" s="2900" t="n"/>
    </row>
    <row customFormat="1" outlineLevel="1" r="332" s="2808" spans="1:55">
      <c r="A332" s="2902" t="s">
        <v>372</v>
      </c>
      <c r="B332" s="2897" t="n"/>
      <c r="C332" s="2900" t="n"/>
      <c r="D332" s="2894">
        <f>' SET Cost(staf+OS)'!D432/1000</f>
        <v/>
      </c>
      <c r="E332" s="2894" t="n"/>
      <c r="F332" s="2895" t="n"/>
      <c r="G332" s="2894" t="n"/>
      <c r="H332" s="2894">
        <f>' SET Cost(staf+OS)'!E432/1000</f>
        <v/>
      </c>
      <c r="I332" s="2894" t="n"/>
      <c r="J332" s="2895" t="n"/>
      <c r="K332" s="2894" t="n"/>
      <c r="L332" s="2894">
        <f>' SET Cost(staf+OS)'!F432/1000</f>
        <v/>
      </c>
      <c r="M332" s="2894" t="n"/>
      <c r="N332" s="2892" t="n"/>
      <c r="O332" s="2894" t="n"/>
      <c r="P332" s="2894">
        <f>' SET Cost(staf+OS)'!G432/1000</f>
        <v/>
      </c>
      <c r="Q332" s="2894" t="n"/>
      <c r="R332" s="2895" t="n"/>
      <c r="S332" s="2894" t="n"/>
      <c r="T332" s="2894">
        <f>' SET Cost(staf+OS)'!H432/1000</f>
        <v/>
      </c>
      <c r="U332" s="2894" t="n"/>
      <c r="V332" s="2892" t="n"/>
      <c r="W332" s="2894" t="n"/>
      <c r="X332" s="2894">
        <f>' SET Cost(staf+OS)'!I432/1000</f>
        <v/>
      </c>
      <c r="Y332" s="2894" t="n"/>
      <c r="Z332" s="2892" t="n"/>
      <c r="AA332" s="2894" t="n"/>
      <c r="AB332" s="2894">
        <f>' SET Cost(staf+OS)'!J432/1000</f>
        <v/>
      </c>
      <c r="AC332" s="2894" t="n"/>
      <c r="AD332" s="2892" t="n"/>
      <c r="AE332" s="2894" t="n"/>
      <c r="AF332" s="2894">
        <f>' SET Cost(staf+OS)'!K432/1000</f>
        <v/>
      </c>
      <c r="AG332" s="2894" t="n"/>
      <c r="AH332" s="2892" t="n"/>
      <c r="AI332" s="2894" t="n"/>
      <c r="AJ332" s="2894">
        <f>' SET Cost(staf+OS)'!L432/1000</f>
        <v/>
      </c>
      <c r="AK332" s="2894" t="n"/>
      <c r="AL332" s="2895" t="n"/>
      <c r="AM332" s="2894" t="n"/>
      <c r="AN332" s="2894">
        <f>' SET Cost(staf+OS)'!M432/1000</f>
        <v/>
      </c>
      <c r="AO332" s="2894" t="n"/>
      <c r="AP332" s="2895" t="n"/>
      <c r="AQ332" s="2894" t="n"/>
      <c r="AR332" s="2894">
        <f>' SET Cost(staf+OS)'!N432/1000</f>
        <v/>
      </c>
      <c r="AS332" s="2894" t="n"/>
      <c r="AT332" s="2895" t="n"/>
      <c r="AU332" s="2894" t="n"/>
      <c r="AV332" s="2894">
        <f>' SET Cost(staf+OS)'!O432/1000</f>
        <v/>
      </c>
      <c r="AW332" s="2900" t="n"/>
      <c r="AX332" s="2897" t="n"/>
      <c r="AY332" s="2900" t="n"/>
      <c r="AZ332" s="2899">
        <f>SUM(C332:AW332)</f>
        <v/>
      </c>
      <c r="BA332" s="2900" t="n"/>
    </row>
    <row customFormat="1" outlineLevel="1" r="333" s="2808" spans="1:55">
      <c r="A333" s="2903" t="s">
        <v>89</v>
      </c>
      <c r="B333" s="2897" t="n"/>
      <c r="C333" s="2899">
        <f>'FY18 SET'!G43/1000</f>
        <v/>
      </c>
      <c r="D333" s="2899" t="n"/>
      <c r="E333" s="2899" t="n"/>
      <c r="F333" s="2897" t="n"/>
      <c r="G333" s="2899">
        <f>'FY18 SET'!H43/1000</f>
        <v/>
      </c>
      <c r="H333" s="2899" t="n"/>
      <c r="I333" s="2899" t="n"/>
      <c r="J333" s="2897" t="n"/>
      <c r="K333" s="2899">
        <f>'FY18 SET'!I43/1000</f>
        <v/>
      </c>
      <c r="L333" s="2899" t="n"/>
      <c r="M333" s="2899" t="n"/>
      <c r="N333" s="2898" t="n"/>
      <c r="O333" s="2899">
        <f>'FY18 SET'!J43/1000</f>
        <v/>
      </c>
      <c r="P333" s="2899" t="n"/>
      <c r="Q333" s="2899" t="n"/>
      <c r="R333" s="2897" t="n"/>
      <c r="S333" s="2899">
        <f>'FY18 SET'!K43/1000</f>
        <v/>
      </c>
      <c r="T333" s="2899" t="n"/>
      <c r="U333" s="2899" t="n"/>
      <c r="V333" s="2898" t="n"/>
      <c r="W333" s="2899">
        <f>'FY18 SET'!L43/1000</f>
        <v/>
      </c>
      <c r="X333" s="2899" t="n"/>
      <c r="Y333" s="2899" t="n"/>
      <c r="Z333" s="2898" t="n"/>
      <c r="AA333" s="2899">
        <f>'FY18 SET'!N43/1000</f>
        <v/>
      </c>
      <c r="AB333" s="2899" t="n"/>
      <c r="AC333" s="2899" t="n"/>
      <c r="AD333" s="2898" t="n"/>
      <c r="AE333" s="2899">
        <f>'FY18 SET'!O43/1000</f>
        <v/>
      </c>
      <c r="AF333" s="2899" t="n"/>
      <c r="AG333" s="2899" t="n"/>
      <c r="AH333" s="2898" t="n"/>
      <c r="AI333" s="2899">
        <f>'FY18 SET'!P43/1000</f>
        <v/>
      </c>
      <c r="AJ333" s="2899" t="n"/>
      <c r="AK333" s="2899" t="n"/>
      <c r="AL333" s="2897" t="n"/>
      <c r="AM333" s="2899">
        <f>'FY18 SET'!Q43/1000</f>
        <v/>
      </c>
      <c r="AN333" s="2899" t="n"/>
      <c r="AO333" s="2899" t="n"/>
      <c r="AP333" s="2897" t="n"/>
      <c r="AQ333" s="2899">
        <f>'FY18 SET'!R43/1000</f>
        <v/>
      </c>
      <c r="AR333" s="2899" t="n"/>
      <c r="AS333" s="2899" t="n"/>
      <c r="AT333" s="2897" t="n"/>
      <c r="AU333" s="2899">
        <f>'FY18 SET'!S43/1000</f>
        <v/>
      </c>
      <c r="AV333" s="2899" t="n"/>
      <c r="AW333" s="2899" t="n"/>
      <c r="AX333" s="2897" t="n"/>
      <c r="AY333" s="2899">
        <f>SUM(B333:AV333)</f>
        <v/>
      </c>
      <c r="AZ333" s="2899" t="n"/>
      <c r="BA333" s="2899" t="n"/>
    </row>
    <row customFormat="1" outlineLevel="1" r="334" s="2808" spans="1:55">
      <c r="A334" s="2910" t="s">
        <v>153</v>
      </c>
      <c r="B334" s="2897" t="n"/>
      <c r="C334" s="2911" t="n"/>
      <c r="D334" s="2911" t="n"/>
      <c r="E334" s="2911">
        <f>SUM(C314:C334)-SUM(D314:D334)</f>
        <v/>
      </c>
      <c r="F334" s="2897" t="n"/>
      <c r="G334" s="2911" t="n"/>
      <c r="H334" s="2911" t="n"/>
      <c r="I334" s="2911">
        <f>SUM(G314:G334)-SUM(H314:H334)</f>
        <v/>
      </c>
      <c r="J334" s="2897" t="n"/>
      <c r="K334" s="2911" t="n"/>
      <c r="L334" s="2911" t="n"/>
      <c r="M334" s="2911">
        <f>SUM(K314:K334)-SUM(L314:L334)</f>
        <v/>
      </c>
      <c r="N334" s="2898" t="n"/>
      <c r="O334" s="2911" t="n"/>
      <c r="P334" s="2911" t="n"/>
      <c r="Q334" s="2911">
        <f>SUM(O314:O334)-SUM(P314:P334)</f>
        <v/>
      </c>
      <c r="R334" s="2897" t="n"/>
      <c r="S334" s="2911" t="n"/>
      <c r="T334" s="2911" t="n"/>
      <c r="U334" s="2911">
        <f>SUM(S314:S334)-SUM(T314:T334)</f>
        <v/>
      </c>
      <c r="V334" s="2898" t="n"/>
      <c r="W334" s="2911" t="n"/>
      <c r="X334" s="2911" t="n"/>
      <c r="Y334" s="2911">
        <f>SUM(W314:W334)-SUM(X314:X334)</f>
        <v/>
      </c>
      <c r="Z334" s="2898" t="n"/>
      <c r="AA334" s="2911" t="n"/>
      <c r="AB334" s="2911" t="n"/>
      <c r="AC334" s="2911">
        <f>SUM(AA314:AA334)-SUM(AB314:AB334)</f>
        <v/>
      </c>
      <c r="AD334" s="2898" t="n"/>
      <c r="AE334" s="2911" t="n"/>
      <c r="AF334" s="2911" t="n"/>
      <c r="AG334" s="2911">
        <f>SUM(AE314:AE334)-SUM(AF314:AF334)</f>
        <v/>
      </c>
      <c r="AH334" s="2898" t="n"/>
      <c r="AI334" s="2911" t="n"/>
      <c r="AJ334" s="2911" t="n"/>
      <c r="AK334" s="2911">
        <f>SUM(AI314:AI334)-SUM(AJ314:AJ334)</f>
        <v/>
      </c>
      <c r="AL334" s="2897" t="n"/>
      <c r="AM334" s="2911" t="n"/>
      <c r="AN334" s="2911" t="n"/>
      <c r="AO334" s="2911">
        <f>SUM(AM314:AM334)-SUM(AN314:AN334)</f>
        <v/>
      </c>
      <c r="AP334" s="2897" t="n"/>
      <c r="AQ334" s="2911" t="n"/>
      <c r="AR334" s="2911" t="n"/>
      <c r="AS334" s="2911">
        <f>SUM(AQ314:AQ334)-SUM(AR314:AR334)</f>
        <v/>
      </c>
      <c r="AT334" s="2897" t="n"/>
      <c r="AU334" s="2911" t="n"/>
      <c r="AV334" s="2911" t="n"/>
      <c r="AW334" s="2911">
        <f>SUM(AU314:AU334)-SUM(AV314:AV334)</f>
        <v/>
      </c>
      <c r="AX334" s="2897" t="n"/>
      <c r="AY334" s="2911" t="n"/>
      <c r="AZ334" s="2911" t="n"/>
      <c r="BA334" s="2900">
        <f>SUM(D334:AY334)</f>
        <v/>
      </c>
    </row>
    <row customFormat="1" outlineLevel="1" r="335" s="2808" spans="1:55">
      <c r="A335" s="2912" t="s">
        <v>173</v>
      </c>
      <c r="B335" s="2912" t="n"/>
      <c r="C335" s="2913">
        <f>SUM(C314:C334)</f>
        <v/>
      </c>
      <c r="D335" s="2913">
        <f>SUM(D323:D332)</f>
        <v/>
      </c>
      <c r="E335" s="2913">
        <f>SUM(E334:E334)</f>
        <v/>
      </c>
      <c r="F335" s="2912" t="n"/>
      <c r="G335" s="2913">
        <f>SUM(G314:G334)</f>
        <v/>
      </c>
      <c r="H335" s="2913">
        <f>SUM(H323:H332)</f>
        <v/>
      </c>
      <c r="I335" s="2913">
        <f>SUM(I334:I334)</f>
        <v/>
      </c>
      <c r="J335" s="2912" t="n"/>
      <c r="K335" s="2913">
        <f>SUM(K314:K334)</f>
        <v/>
      </c>
      <c r="L335" s="2913">
        <f>SUM(L323:L332)</f>
        <v/>
      </c>
      <c r="M335" s="2913">
        <f>SUM(M334:M334)</f>
        <v/>
      </c>
      <c r="N335" s="2914" t="n"/>
      <c r="O335" s="2913">
        <f>SUM(O314:O334)</f>
        <v/>
      </c>
      <c r="P335" s="2913">
        <f>SUM(P323:P332)</f>
        <v/>
      </c>
      <c r="Q335" s="2913">
        <f>SUM(Q334:Q334)</f>
        <v/>
      </c>
      <c r="R335" s="2912" t="n"/>
      <c r="S335" s="2913">
        <f>SUM(S314:S334)</f>
        <v/>
      </c>
      <c r="T335" s="2913">
        <f>SUM(T323:T332)</f>
        <v/>
      </c>
      <c r="U335" s="2913">
        <f>SUM(U334:U334)</f>
        <v/>
      </c>
      <c r="V335" s="2914" t="n"/>
      <c r="W335" s="2913">
        <f>SUM(W314:W334)</f>
        <v/>
      </c>
      <c r="X335" s="2913">
        <f>SUM(X323:X332)</f>
        <v/>
      </c>
      <c r="Y335" s="2913">
        <f>SUM(Y334:Y334)</f>
        <v/>
      </c>
      <c r="Z335" s="2914" t="n"/>
      <c r="AA335" s="2913">
        <f>SUM(AA314:AA334)</f>
        <v/>
      </c>
      <c r="AB335" s="2913">
        <f>SUM(AB323:AB332)</f>
        <v/>
      </c>
      <c r="AC335" s="2913">
        <f>SUM(AC334:AC334)</f>
        <v/>
      </c>
      <c r="AD335" s="2914" t="n"/>
      <c r="AE335" s="2913">
        <f>SUM(AE314:AE334)</f>
        <v/>
      </c>
      <c r="AF335" s="2913">
        <f>SUM(AF323:AF332)</f>
        <v/>
      </c>
      <c r="AG335" s="2913">
        <f>SUM(AG334:AG334)</f>
        <v/>
      </c>
      <c r="AH335" s="2914" t="n"/>
      <c r="AI335" s="2913">
        <f>SUM(AI314:AI334)</f>
        <v/>
      </c>
      <c r="AJ335" s="2913">
        <f>SUM(AJ323:AJ332)</f>
        <v/>
      </c>
      <c r="AK335" s="2913">
        <f>SUM(AK334:AK334)</f>
        <v/>
      </c>
      <c r="AL335" s="2912" t="n"/>
      <c r="AM335" s="2913">
        <f>SUM(AM314:AM334)</f>
        <v/>
      </c>
      <c r="AN335" s="2913">
        <f>SUM(AN323:AN332)</f>
        <v/>
      </c>
      <c r="AO335" s="2913">
        <f>SUM(AO334:AO334)</f>
        <v/>
      </c>
      <c r="AP335" s="2912" t="n"/>
      <c r="AQ335" s="2913">
        <f>SUM(AQ314:AQ334)</f>
        <v/>
      </c>
      <c r="AR335" s="2913">
        <f>SUM(AR323:AR332)</f>
        <v/>
      </c>
      <c r="AS335" s="2913">
        <f>SUM(AS334:AS334)</f>
        <v/>
      </c>
      <c r="AT335" s="2912" t="n"/>
      <c r="AU335" s="2913">
        <f>SUM(AU314:AU334)</f>
        <v/>
      </c>
      <c r="AV335" s="2913">
        <f>SUM(AV323:AV332)</f>
        <v/>
      </c>
      <c r="AW335" s="2913">
        <f>SUM(AW334:AW334)</f>
        <v/>
      </c>
      <c r="AX335" s="2912" t="n"/>
      <c r="AY335" s="2912">
        <f>SUM(AY314:AY334)</f>
        <v/>
      </c>
      <c r="AZ335" s="2912">
        <f>SUM(AZ314:AZ334)</f>
        <v/>
      </c>
      <c r="BA335" s="2912">
        <f>SUM(BA334:BA334)</f>
        <v/>
      </c>
    </row>
    <row customFormat="1" outlineLevel="1" r="336" s="2808" spans="1:55">
      <c r="A336" s="2912" t="s">
        <v>391</v>
      </c>
      <c r="B336" s="2912" t="n"/>
      <c r="C336" s="2913" t="n"/>
      <c r="D336" s="2913" t="n"/>
      <c r="E336" s="2915">
        <f>E335/C335</f>
        <v/>
      </c>
      <c r="F336" s="2912" t="n"/>
      <c r="G336" s="2913" t="n"/>
      <c r="H336" s="2913" t="n"/>
      <c r="I336" s="2915">
        <f>I335/G335</f>
        <v/>
      </c>
      <c r="J336" s="2912" t="n"/>
      <c r="K336" s="2913" t="n"/>
      <c r="L336" s="2913" t="n"/>
      <c r="M336" s="2915">
        <f>M335/K335</f>
        <v/>
      </c>
      <c r="N336" s="2913" t="n"/>
      <c r="O336" s="2913" t="n"/>
      <c r="P336" s="2913" t="n"/>
      <c r="Q336" s="2915">
        <f>Q335/O335</f>
        <v/>
      </c>
      <c r="R336" s="2912" t="n"/>
      <c r="S336" s="2913" t="n"/>
      <c r="T336" s="2913" t="n"/>
      <c r="U336" s="2915">
        <f>U335/S335</f>
        <v/>
      </c>
      <c r="V336" s="2913" t="n"/>
      <c r="W336" s="2913" t="n"/>
      <c r="X336" s="2913" t="n"/>
      <c r="Y336" s="2915">
        <f>Y335/W335</f>
        <v/>
      </c>
      <c r="Z336" s="2913" t="n"/>
      <c r="AA336" s="2913" t="n"/>
      <c r="AB336" s="2913" t="n"/>
      <c r="AC336" s="2915">
        <f>AC335/AA335</f>
        <v/>
      </c>
      <c r="AD336" s="2913" t="n"/>
      <c r="AE336" s="2913" t="n"/>
      <c r="AF336" s="2913" t="n"/>
      <c r="AG336" s="2915">
        <f>AG335/AE335</f>
        <v/>
      </c>
      <c r="AH336" s="2913" t="n"/>
      <c r="AI336" s="2913" t="n"/>
      <c r="AJ336" s="2913" t="n"/>
      <c r="AK336" s="2915">
        <f>AK335/AI335</f>
        <v/>
      </c>
      <c r="AL336" s="2912" t="n"/>
      <c r="AM336" s="2913" t="n"/>
      <c r="AN336" s="2913" t="n"/>
      <c r="AO336" s="2915">
        <f>AO335/AM335</f>
        <v/>
      </c>
      <c r="AP336" s="2912" t="n"/>
      <c r="AQ336" s="2913" t="n"/>
      <c r="AR336" s="2913" t="n"/>
      <c r="AS336" s="2915">
        <f>AS335/AQ335</f>
        <v/>
      </c>
      <c r="AT336" s="2912" t="n"/>
      <c r="AU336" s="2913" t="n"/>
      <c r="AV336" s="2913" t="n"/>
      <c r="AW336" s="2915">
        <f>AW335/AU335</f>
        <v/>
      </c>
      <c r="AX336" s="2912" t="n"/>
      <c r="AY336" s="2912" t="n"/>
      <c r="AZ336" s="2912" t="n"/>
      <c r="BA336" s="2915">
        <f>BA335/AY335</f>
        <v/>
      </c>
    </row>
    <row customFormat="1" r="337" s="2808" spans="1:55">
      <c r="A337" s="2806" t="n"/>
      <c r="B337" s="2806" t="n"/>
      <c r="E337" s="2836" t="n"/>
      <c r="F337" s="2806" t="n"/>
      <c r="I337" s="2836" t="n"/>
      <c r="J337" s="2806" t="n"/>
      <c r="M337" s="2836" t="n"/>
      <c r="Q337" s="2836" t="n"/>
      <c r="R337" s="2806" t="n"/>
      <c r="U337" s="2836" t="n"/>
      <c r="Y337" s="2836" t="n"/>
      <c r="AC337" s="2836" t="n"/>
      <c r="AG337" s="2836" t="n"/>
      <c r="AK337" s="2836" t="n"/>
      <c r="AL337" s="2806" t="n"/>
      <c r="AO337" s="2836" t="n"/>
      <c r="AP337" s="2806" t="n"/>
      <c r="AS337" s="2836" t="n"/>
      <c r="AT337" s="2806" t="n"/>
      <c r="AW337" s="2836" t="n"/>
      <c r="AX337" s="2806" t="n"/>
      <c r="AY337" s="2806" t="n"/>
      <c r="AZ337" s="2806" t="n"/>
      <c r="BA337" s="2836" t="n"/>
    </row>
    <row customFormat="1" r="338" s="2808" spans="1:55">
      <c r="A338" s="2889">
        <f>' SET Cost(staf+OS)'!A451</f>
        <v/>
      </c>
      <c r="B338" s="2890" t="n"/>
      <c r="C338" s="2891" t="s">
        <v>62</v>
      </c>
      <c r="F338" s="2890" t="n"/>
      <c r="G338" s="2891" t="s">
        <v>63</v>
      </c>
      <c r="J338" s="2890" t="n"/>
      <c r="K338" s="2891" t="s">
        <v>64</v>
      </c>
      <c r="N338" s="2892" t="n"/>
      <c r="O338" s="2891" t="s">
        <v>174</v>
      </c>
      <c r="R338" s="2890" t="n"/>
      <c r="S338" s="2891" t="s">
        <v>66</v>
      </c>
      <c r="V338" s="2892" t="n"/>
      <c r="W338" s="2891" t="s">
        <v>67</v>
      </c>
      <c r="Z338" s="2892" t="n"/>
      <c r="AA338" s="2891" t="s">
        <v>69</v>
      </c>
      <c r="AD338" s="2892" t="n"/>
      <c r="AE338" s="2891" t="s">
        <v>70</v>
      </c>
      <c r="AH338" s="2892" t="n"/>
      <c r="AI338" s="2891" t="s">
        <v>71</v>
      </c>
      <c r="AL338" s="2890" t="n"/>
      <c r="AM338" s="2891" t="s">
        <v>72</v>
      </c>
      <c r="AP338" s="2890" t="n"/>
      <c r="AQ338" s="2891" t="s">
        <v>73</v>
      </c>
      <c r="AT338" s="2890" t="n"/>
      <c r="AU338" s="2891" t="s">
        <v>74</v>
      </c>
      <c r="AX338" s="2890" t="n"/>
      <c r="AY338" s="2891" t="s">
        <v>173</v>
      </c>
    </row>
    <row customFormat="1" r="339" s="2808" spans="1:55">
      <c r="A339" s="2893" t="n"/>
      <c r="B339" s="2893" t="n"/>
      <c r="C339" s="2893" t="s">
        <v>89</v>
      </c>
      <c r="D339" s="2893" t="s">
        <v>152</v>
      </c>
      <c r="E339" s="2893" t="s">
        <v>153</v>
      </c>
      <c r="F339" s="2893" t="n"/>
      <c r="G339" s="2893" t="s">
        <v>89</v>
      </c>
      <c r="H339" s="2893" t="s">
        <v>152</v>
      </c>
      <c r="I339" s="2893" t="s">
        <v>153</v>
      </c>
      <c r="J339" s="2893" t="n"/>
      <c r="K339" s="2893" t="s">
        <v>89</v>
      </c>
      <c r="L339" s="2893" t="s">
        <v>152</v>
      </c>
      <c r="M339" s="2893" t="s">
        <v>153</v>
      </c>
      <c r="N339" s="2892" t="n"/>
      <c r="O339" s="2893" t="s">
        <v>89</v>
      </c>
      <c r="P339" s="2893" t="s">
        <v>152</v>
      </c>
      <c r="Q339" s="2893" t="s">
        <v>153</v>
      </c>
      <c r="R339" s="2893" t="n"/>
      <c r="S339" s="2893" t="s">
        <v>89</v>
      </c>
      <c r="T339" s="2893" t="s">
        <v>152</v>
      </c>
      <c r="U339" s="2893" t="s">
        <v>153</v>
      </c>
      <c r="V339" s="2892" t="n"/>
      <c r="W339" s="2893" t="s">
        <v>89</v>
      </c>
      <c r="X339" s="2893" t="s">
        <v>152</v>
      </c>
      <c r="Y339" s="2893" t="s">
        <v>153</v>
      </c>
      <c r="Z339" s="2892" t="n"/>
      <c r="AA339" s="2893" t="s">
        <v>89</v>
      </c>
      <c r="AB339" s="2893" t="s">
        <v>152</v>
      </c>
      <c r="AC339" s="2893" t="s">
        <v>153</v>
      </c>
      <c r="AD339" s="2892" t="n"/>
      <c r="AE339" s="2893" t="s">
        <v>89</v>
      </c>
      <c r="AF339" s="2893" t="s">
        <v>152</v>
      </c>
      <c r="AG339" s="2893" t="s">
        <v>153</v>
      </c>
      <c r="AH339" s="2892" t="n"/>
      <c r="AI339" s="2893" t="s">
        <v>89</v>
      </c>
      <c r="AJ339" s="2893" t="s">
        <v>152</v>
      </c>
      <c r="AK339" s="2893" t="s">
        <v>153</v>
      </c>
      <c r="AL339" s="2893" t="n"/>
      <c r="AM339" s="2893" t="s">
        <v>89</v>
      </c>
      <c r="AN339" s="2893" t="s">
        <v>152</v>
      </c>
      <c r="AO339" s="2893" t="s">
        <v>153</v>
      </c>
      <c r="AP339" s="2893" t="n"/>
      <c r="AQ339" s="2893" t="s">
        <v>89</v>
      </c>
      <c r="AR339" s="2893" t="s">
        <v>152</v>
      </c>
      <c r="AS339" s="2893" t="s">
        <v>153</v>
      </c>
      <c r="AT339" s="2893" t="n"/>
      <c r="AU339" s="2893" t="s">
        <v>89</v>
      </c>
      <c r="AV339" s="2893" t="s">
        <v>152</v>
      </c>
      <c r="AW339" s="2893" t="s">
        <v>153</v>
      </c>
      <c r="AX339" s="2893" t="n"/>
      <c r="AY339" s="2893" t="s">
        <v>89</v>
      </c>
      <c r="AZ339" s="2893" t="s">
        <v>152</v>
      </c>
      <c r="BA339" s="2893" t="s">
        <v>153</v>
      </c>
    </row>
    <row customFormat="1" r="340" s="2808" spans="1:55">
      <c r="A340" s="2894" t="s">
        <v>187</v>
      </c>
      <c r="B340" s="2895" t="n"/>
      <c r="C340" s="2894" t="n"/>
      <c r="D340" s="2894">
        <f>' SET Cost(staf+OS)'!D450/1000</f>
        <v/>
      </c>
      <c r="E340" s="2894" t="n"/>
      <c r="F340" s="2895" t="n"/>
      <c r="G340" s="2894" t="n"/>
      <c r="H340" s="2894">
        <f>' SET Cost(staf+OS)'!E450/1000</f>
        <v/>
      </c>
      <c r="I340" s="2894" t="n"/>
      <c r="J340" s="2895" t="n"/>
      <c r="K340" s="2894" t="n"/>
      <c r="L340" s="2894">
        <f>' SET Cost(staf+OS)'!F450/1000</f>
        <v/>
      </c>
      <c r="M340" s="2894" t="n"/>
      <c r="N340" s="2892" t="n"/>
      <c r="O340" s="2894" t="n"/>
      <c r="P340" s="2894">
        <f>' SET Cost(staf+OS)'!G450/1000</f>
        <v/>
      </c>
      <c r="Q340" s="2894" t="n"/>
      <c r="R340" s="2895" t="n"/>
      <c r="S340" s="2894" t="n"/>
      <c r="T340" s="2894">
        <f>' SET Cost(staf+OS)'!H450/1000</f>
        <v/>
      </c>
      <c r="U340" s="2894" t="n"/>
      <c r="V340" s="2892" t="n"/>
      <c r="W340" s="2894" t="n"/>
      <c r="X340" s="2894">
        <f>' SET Cost(staf+OS)'!I450/1000</f>
        <v/>
      </c>
      <c r="Y340" s="2894" t="n"/>
      <c r="Z340" s="2892" t="n"/>
      <c r="AA340" s="2894" t="n"/>
      <c r="AB340" s="2894">
        <f>' SET Cost(staf+OS)'!J450/1000</f>
        <v/>
      </c>
      <c r="AC340" s="2894" t="n"/>
      <c r="AD340" s="2892" t="n"/>
      <c r="AE340" s="2894" t="n"/>
      <c r="AF340" s="2894">
        <f>' SET Cost(staf+OS)'!K450/1000</f>
        <v/>
      </c>
      <c r="AG340" s="2894" t="n"/>
      <c r="AH340" s="2892" t="n"/>
      <c r="AI340" s="2894" t="n"/>
      <c r="AJ340" s="2894">
        <f>' SET Cost(staf+OS)'!L450/1000</f>
        <v/>
      </c>
      <c r="AK340" s="2894" t="n"/>
      <c r="AL340" s="2895" t="n"/>
      <c r="AM340" s="2894" t="n"/>
      <c r="AN340" s="2894">
        <f>' SET Cost(staf+OS)'!M450/1000</f>
        <v/>
      </c>
      <c r="AO340" s="2894" t="n"/>
      <c r="AP340" s="2895" t="n"/>
      <c r="AQ340" s="2894" t="n"/>
      <c r="AR340" s="2894">
        <f>' SET Cost(staf+OS)'!N450/1000</f>
        <v/>
      </c>
      <c r="AS340" s="2894" t="n"/>
      <c r="AT340" s="2895" t="n"/>
      <c r="AU340" s="2894" t="n"/>
      <c r="AV340" s="2894">
        <f>' SET Cost(staf+OS)'!O450/1000</f>
        <v/>
      </c>
      <c r="AW340" s="2894" t="n"/>
      <c r="AX340" s="2895" t="n"/>
      <c r="AY340" s="2894" t="n"/>
      <c r="AZ340" s="2894">
        <f>SUM(C340:AW340)</f>
        <v/>
      </c>
      <c r="BA340" s="2894" t="n"/>
    </row>
    <row customFormat="1" r="341" s="2808" spans="1:55">
      <c r="A341" s="2894" t="s">
        <v>189</v>
      </c>
      <c r="B341" s="2895" t="n"/>
      <c r="C341" s="2894" t="n"/>
      <c r="D341" s="2894">
        <f>' SET Cost(staf+OS)'!D451/1000</f>
        <v/>
      </c>
      <c r="E341" s="2894" t="n"/>
      <c r="F341" s="2895" t="n"/>
      <c r="G341" s="2894" t="n"/>
      <c r="H341" s="2894">
        <f>' SET Cost(staf+OS)'!E451/1000</f>
        <v/>
      </c>
      <c r="I341" s="2894" t="n"/>
      <c r="J341" s="2895" t="n"/>
      <c r="K341" s="2894" t="n"/>
      <c r="L341" s="2894">
        <f>' SET Cost(staf+OS)'!F451/1000</f>
        <v/>
      </c>
      <c r="M341" s="2894" t="n"/>
      <c r="N341" s="2892" t="n"/>
      <c r="O341" s="2894" t="n"/>
      <c r="P341" s="2894">
        <f>' SET Cost(staf+OS)'!G451/1000</f>
        <v/>
      </c>
      <c r="Q341" s="2894" t="n"/>
      <c r="R341" s="2895" t="n"/>
      <c r="S341" s="2894" t="n"/>
      <c r="T341" s="2894">
        <f>' SET Cost(staf+OS)'!H451/1000</f>
        <v/>
      </c>
      <c r="U341" s="2894" t="n"/>
      <c r="V341" s="2892" t="n"/>
      <c r="W341" s="2894" t="n"/>
      <c r="X341" s="2894">
        <f>' SET Cost(staf+OS)'!I451/1000</f>
        <v/>
      </c>
      <c r="Y341" s="2894" t="n"/>
      <c r="Z341" s="2892" t="n"/>
      <c r="AA341" s="2894" t="n"/>
      <c r="AB341" s="2894">
        <f>' SET Cost(staf+OS)'!J451/1000</f>
        <v/>
      </c>
      <c r="AC341" s="2894" t="n"/>
      <c r="AD341" s="2892" t="n"/>
      <c r="AE341" s="2894" t="n"/>
      <c r="AF341" s="2894">
        <f>' SET Cost(staf+OS)'!K451/1000</f>
        <v/>
      </c>
      <c r="AG341" s="2894" t="n"/>
      <c r="AH341" s="2892" t="n"/>
      <c r="AI341" s="2894" t="n"/>
      <c r="AJ341" s="2894">
        <f>' SET Cost(staf+OS)'!L451/1000</f>
        <v/>
      </c>
      <c r="AK341" s="2894" t="n"/>
      <c r="AL341" s="2895" t="n"/>
      <c r="AM341" s="2894" t="n"/>
      <c r="AN341" s="2894">
        <f>' SET Cost(staf+OS)'!M451/1000</f>
        <v/>
      </c>
      <c r="AO341" s="2894" t="n"/>
      <c r="AP341" s="2895" t="n"/>
      <c r="AQ341" s="2894" t="n"/>
      <c r="AR341" s="2894">
        <f>' SET Cost(staf+OS)'!N451/1000</f>
        <v/>
      </c>
      <c r="AS341" s="2894" t="n"/>
      <c r="AT341" s="2895" t="n"/>
      <c r="AU341" s="2894" t="n"/>
      <c r="AV341" s="2894">
        <f>' SET Cost(staf+OS)'!O451/1000</f>
        <v/>
      </c>
      <c r="AW341" s="2894" t="n"/>
      <c r="AX341" s="2895" t="n"/>
      <c r="AY341" s="2894" t="n"/>
      <c r="AZ341" s="2894">
        <f>SUM(C341:AW341)</f>
        <v/>
      </c>
      <c r="BA341" s="2894" t="n"/>
    </row>
    <row customFormat="1" r="342" s="2216" spans="1:55">
      <c r="A342" s="2896" t="s">
        <v>252</v>
      </c>
      <c r="B342" s="2897" t="n"/>
      <c r="C342" s="2896" t="n"/>
      <c r="D342" s="2894">
        <f>' SET Cost(staf+OS)'!D452/1000</f>
        <v/>
      </c>
      <c r="E342" s="2894" t="n"/>
      <c r="F342" s="2895" t="n"/>
      <c r="G342" s="2894" t="n"/>
      <c r="H342" s="2894">
        <f>' SET Cost(staf+OS)'!E452/1000</f>
        <v/>
      </c>
      <c r="I342" s="2894" t="n"/>
      <c r="J342" s="2895" t="n"/>
      <c r="K342" s="2894" t="n"/>
      <c r="L342" s="2894">
        <f>' SET Cost(staf+OS)'!F452/1000</f>
        <v/>
      </c>
      <c r="M342" s="2894" t="n"/>
      <c r="N342" s="2892" t="n"/>
      <c r="O342" s="2894" t="n"/>
      <c r="P342" s="2894">
        <f>' SET Cost(staf+OS)'!G452/1000</f>
        <v/>
      </c>
      <c r="Q342" s="2894" t="n"/>
      <c r="R342" s="2895" t="n"/>
      <c r="S342" s="2894" t="n"/>
      <c r="T342" s="2894">
        <f>' SET Cost(staf+OS)'!H452/1000</f>
        <v/>
      </c>
      <c r="U342" s="2894" t="n"/>
      <c r="V342" s="2892" t="n"/>
      <c r="W342" s="2894" t="n"/>
      <c r="X342" s="2894">
        <f>' SET Cost(staf+OS)'!I452/1000</f>
        <v/>
      </c>
      <c r="Y342" s="2894" t="n"/>
      <c r="Z342" s="2892" t="n"/>
      <c r="AA342" s="2894" t="n"/>
      <c r="AB342" s="2894">
        <f>' SET Cost(staf+OS)'!J452/1000</f>
        <v/>
      </c>
      <c r="AC342" s="2894" t="n"/>
      <c r="AD342" s="2892" t="n"/>
      <c r="AE342" s="2894" t="n"/>
      <c r="AF342" s="2894">
        <f>' SET Cost(staf+OS)'!K452/1000</f>
        <v/>
      </c>
      <c r="AG342" s="2894" t="n"/>
      <c r="AH342" s="2892" t="n"/>
      <c r="AI342" s="2894" t="n"/>
      <c r="AJ342" s="2894">
        <f>' SET Cost(staf+OS)'!L452/1000</f>
        <v/>
      </c>
      <c r="AK342" s="2894" t="n"/>
      <c r="AL342" s="2895" t="n"/>
      <c r="AM342" s="2894" t="n"/>
      <c r="AN342" s="2894">
        <f>' SET Cost(staf+OS)'!M452/1000</f>
        <v/>
      </c>
      <c r="AO342" s="2894" t="n"/>
      <c r="AP342" s="2895" t="n"/>
      <c r="AQ342" s="2894" t="n"/>
      <c r="AR342" s="2894">
        <f>' SET Cost(staf+OS)'!N452/1000</f>
        <v/>
      </c>
      <c r="AS342" s="2894" t="n"/>
      <c r="AT342" s="2895" t="n"/>
      <c r="AU342" s="2894" t="n"/>
      <c r="AV342" s="2894">
        <f>' SET Cost(staf+OS)'!O452/1000</f>
        <v/>
      </c>
      <c r="AW342" s="2896" t="n"/>
      <c r="AX342" s="2897" t="n"/>
      <c r="AY342" s="2896" t="n"/>
      <c r="AZ342" s="2896">
        <f>SUM(C342:AW342)</f>
        <v/>
      </c>
      <c r="BA342" s="2896" t="n"/>
    </row>
    <row customFormat="1" r="343" s="2808" spans="1:55">
      <c r="A343" s="2899" t="s">
        <v>191</v>
      </c>
      <c r="B343" s="2897" t="n"/>
      <c r="C343" s="2900" t="n"/>
      <c r="D343" s="2894">
        <f>' SET Cost(staf+OS)'!D453/1000</f>
        <v/>
      </c>
      <c r="E343" s="2894" t="n"/>
      <c r="F343" s="2895" t="n"/>
      <c r="G343" s="2894" t="n"/>
      <c r="H343" s="2894">
        <f>' SET Cost(staf+OS)'!E453/1000</f>
        <v/>
      </c>
      <c r="I343" s="2894" t="n"/>
      <c r="J343" s="2895" t="n"/>
      <c r="K343" s="2894" t="n"/>
      <c r="L343" s="2894">
        <f>' SET Cost(staf+OS)'!F453/1000</f>
        <v/>
      </c>
      <c r="M343" s="2894" t="n"/>
      <c r="N343" s="2892" t="n"/>
      <c r="O343" s="2894" t="n"/>
      <c r="P343" s="2894">
        <f>' SET Cost(staf+OS)'!G453/1000</f>
        <v/>
      </c>
      <c r="Q343" s="2894" t="n"/>
      <c r="R343" s="2895" t="n"/>
      <c r="S343" s="2894" t="n"/>
      <c r="T343" s="2894">
        <f>' SET Cost(staf+OS)'!H453/1000</f>
        <v/>
      </c>
      <c r="U343" s="2894" t="n"/>
      <c r="V343" s="2892" t="n"/>
      <c r="W343" s="2894" t="n"/>
      <c r="X343" s="2894">
        <f>' SET Cost(staf+OS)'!I453/1000</f>
        <v/>
      </c>
      <c r="Y343" s="2894" t="n"/>
      <c r="Z343" s="2892" t="n"/>
      <c r="AA343" s="2894" t="n"/>
      <c r="AB343" s="2894">
        <f>' SET Cost(staf+OS)'!J453/1000</f>
        <v/>
      </c>
      <c r="AC343" s="2894" t="n"/>
      <c r="AD343" s="2892" t="n"/>
      <c r="AE343" s="2894" t="n"/>
      <c r="AF343" s="2894">
        <f>' SET Cost(staf+OS)'!K453/1000</f>
        <v/>
      </c>
      <c r="AG343" s="2894" t="n"/>
      <c r="AH343" s="2892" t="n"/>
      <c r="AI343" s="2894" t="n"/>
      <c r="AJ343" s="2894">
        <f>' SET Cost(staf+OS)'!L453/1000</f>
        <v/>
      </c>
      <c r="AK343" s="2894" t="n"/>
      <c r="AL343" s="2895" t="n"/>
      <c r="AM343" s="2894" t="n"/>
      <c r="AN343" s="2894">
        <f>' SET Cost(staf+OS)'!M453/1000</f>
        <v/>
      </c>
      <c r="AO343" s="2894" t="n"/>
      <c r="AP343" s="2895" t="n"/>
      <c r="AQ343" s="2894" t="n"/>
      <c r="AR343" s="2894">
        <f>' SET Cost(staf+OS)'!N453/1000</f>
        <v/>
      </c>
      <c r="AS343" s="2894" t="n"/>
      <c r="AT343" s="2895" t="n"/>
      <c r="AU343" s="2894" t="n"/>
      <c r="AV343" s="2894">
        <f>' SET Cost(staf+OS)'!O453/1000</f>
        <v/>
      </c>
      <c r="AW343" s="2900" t="n"/>
      <c r="AX343" s="2897" t="n"/>
      <c r="AY343" s="2900" t="n"/>
      <c r="AZ343" s="2899">
        <f>SUM(C343:AW343)</f>
        <v/>
      </c>
      <c r="BA343" s="2900" t="n"/>
    </row>
    <row customFormat="1" r="344" s="2808" spans="1:55">
      <c r="A344" s="2899" t="s">
        <v>192</v>
      </c>
      <c r="B344" s="2897" t="n"/>
      <c r="C344" s="2900" t="n"/>
      <c r="D344" s="2894">
        <f>' SET Cost(staf+OS)'!D454/1000</f>
        <v/>
      </c>
      <c r="E344" s="2894" t="n"/>
      <c r="F344" s="2895" t="n"/>
      <c r="G344" s="2894" t="n"/>
      <c r="H344" s="2894">
        <f>' SET Cost(staf+OS)'!E454/1000</f>
        <v/>
      </c>
      <c r="I344" s="2894" t="n"/>
      <c r="J344" s="2895" t="n"/>
      <c r="K344" s="2894" t="n"/>
      <c r="L344" s="2894">
        <f>' SET Cost(staf+OS)'!F454/1000</f>
        <v/>
      </c>
      <c r="M344" s="2894" t="n"/>
      <c r="N344" s="2892" t="n"/>
      <c r="O344" s="2894" t="n"/>
      <c r="P344" s="2894">
        <f>' SET Cost(staf+OS)'!G454/1000</f>
        <v/>
      </c>
      <c r="Q344" s="2894" t="n"/>
      <c r="R344" s="2895" t="n"/>
      <c r="S344" s="2894" t="n"/>
      <c r="T344" s="2894">
        <f>' SET Cost(staf+OS)'!H454/1000</f>
        <v/>
      </c>
      <c r="U344" s="2894" t="n"/>
      <c r="V344" s="2892" t="n"/>
      <c r="W344" s="2894" t="n"/>
      <c r="X344" s="2894">
        <f>' SET Cost(staf+OS)'!I454/1000</f>
        <v/>
      </c>
      <c r="Y344" s="2894" t="n"/>
      <c r="Z344" s="2892" t="n"/>
      <c r="AA344" s="2894" t="n"/>
      <c r="AB344" s="2894">
        <f>' SET Cost(staf+OS)'!J454/1000</f>
        <v/>
      </c>
      <c r="AC344" s="2894" t="n"/>
      <c r="AD344" s="2892" t="n"/>
      <c r="AE344" s="2894" t="n"/>
      <c r="AF344" s="2894">
        <f>' SET Cost(staf+OS)'!K454/1000</f>
        <v/>
      </c>
      <c r="AG344" s="2894" t="n"/>
      <c r="AH344" s="2892" t="n"/>
      <c r="AI344" s="2894" t="n"/>
      <c r="AJ344" s="2894">
        <f>' SET Cost(staf+OS)'!L454/1000</f>
        <v/>
      </c>
      <c r="AK344" s="2894" t="n"/>
      <c r="AL344" s="2895" t="n"/>
      <c r="AM344" s="2894" t="n"/>
      <c r="AN344" s="2894">
        <f>' SET Cost(staf+OS)'!M454/1000</f>
        <v/>
      </c>
      <c r="AO344" s="2894" t="n"/>
      <c r="AP344" s="2895" t="n"/>
      <c r="AQ344" s="2894" t="n"/>
      <c r="AR344" s="2894">
        <f>' SET Cost(staf+OS)'!N454/1000</f>
        <v/>
      </c>
      <c r="AS344" s="2894" t="n"/>
      <c r="AT344" s="2895" t="n"/>
      <c r="AU344" s="2894" t="n"/>
      <c r="AV344" s="2894">
        <f>' SET Cost(staf+OS)'!O454/1000</f>
        <v/>
      </c>
      <c r="AW344" s="2900" t="n"/>
      <c r="AX344" s="2897" t="n"/>
      <c r="AY344" s="2900" t="n"/>
      <c r="AZ344" s="2899">
        <f>SUM(C344:AW344)</f>
        <v/>
      </c>
      <c r="BA344" s="2900" t="n"/>
    </row>
    <row customFormat="1" r="345" s="2808" spans="1:55">
      <c r="A345" s="2899" t="s">
        <v>194</v>
      </c>
      <c r="B345" s="2897" t="n"/>
      <c r="C345" s="2900" t="n"/>
      <c r="D345" s="2900">
        <f>' SET Cost(staf+OS)'!D455/1000+'OS&amp;Travel Exp'!C59/1000</f>
        <v/>
      </c>
      <c r="E345" s="2900" t="n"/>
      <c r="F345" s="2900" t="n"/>
      <c r="G345" s="2900" t="n"/>
      <c r="H345" s="2900">
        <f>' SET Cost(staf+OS)'!E455/1000+'OS&amp;Travel Exp'!D59/1000</f>
        <v/>
      </c>
      <c r="I345" s="2900" t="n"/>
      <c r="J345" s="2900" t="n"/>
      <c r="K345" s="2900" t="n"/>
      <c r="L345" s="2900">
        <f>' SET Cost(staf+OS)'!F455/1000+'OS&amp;Travel Exp'!E59/1000</f>
        <v/>
      </c>
      <c r="M345" s="2900" t="n"/>
      <c r="N345" s="2900" t="n"/>
      <c r="O345" s="2900" t="n"/>
      <c r="P345" s="2900">
        <f>' SET Cost(staf+OS)'!G455/1000+'OS&amp;Travel Exp'!F59/1000</f>
        <v/>
      </c>
      <c r="Q345" s="2900" t="n"/>
      <c r="R345" s="2900" t="n"/>
      <c r="S345" s="2900" t="n"/>
      <c r="T345" s="2900">
        <f>' SET Cost(staf+OS)'!H455/1000+'OS&amp;Travel Exp'!G59/1000</f>
        <v/>
      </c>
      <c r="U345" s="2900" t="n"/>
      <c r="V345" s="2900" t="n"/>
      <c r="W345" s="2900" t="n"/>
      <c r="X345" s="2900">
        <f>' SET Cost(staf+OS)'!I455/1000+'OS&amp;Travel Exp'!H59/1000</f>
        <v/>
      </c>
      <c r="Y345" s="2900" t="n"/>
      <c r="Z345" s="2900" t="n"/>
      <c r="AA345" s="2900" t="n"/>
      <c r="AB345" s="2900">
        <f>' SET Cost(staf+OS)'!J455/1000+'OS&amp;Travel Exp'!I59/1000</f>
        <v/>
      </c>
      <c r="AC345" s="2900" t="n"/>
      <c r="AD345" s="2900" t="n"/>
      <c r="AE345" s="2900" t="n"/>
      <c r="AF345" s="2900">
        <f>' SET Cost(staf+OS)'!K455/1000+'OS&amp;Travel Exp'!J59/1000</f>
        <v/>
      </c>
      <c r="AG345" s="2900" t="n"/>
      <c r="AH345" s="2900" t="n"/>
      <c r="AI345" s="2900" t="n"/>
      <c r="AJ345" s="2900">
        <f>' SET Cost(staf+OS)'!L455/1000+'OS&amp;Travel Exp'!K59/1000</f>
        <v/>
      </c>
      <c r="AK345" s="2900" t="n"/>
      <c r="AL345" s="2900" t="n"/>
      <c r="AM345" s="2900" t="n"/>
      <c r="AN345" s="2900">
        <f>' SET Cost(staf+OS)'!M455/1000+'OS&amp;Travel Exp'!L59/1000</f>
        <v/>
      </c>
      <c r="AO345" s="2900" t="n"/>
      <c r="AP345" s="2900" t="n"/>
      <c r="AQ345" s="2900" t="n"/>
      <c r="AR345" s="2900">
        <f>' SET Cost(staf+OS)'!N455/1000+'OS&amp;Travel Exp'!M59/1000</f>
        <v/>
      </c>
      <c r="AS345" s="2900" t="n"/>
      <c r="AT345" s="2900" t="n"/>
      <c r="AU345" s="2900" t="n"/>
      <c r="AV345" s="2900">
        <f>' SET Cost(staf+OS)'!O455/1000+'OS&amp;Travel Exp'!N59/1000</f>
        <v/>
      </c>
      <c r="AW345" s="2900" t="n"/>
      <c r="AX345" s="2897" t="n"/>
      <c r="AY345" s="2900" t="n"/>
      <c r="AZ345" s="2899">
        <f>SUM(C345:AW345)</f>
        <v/>
      </c>
      <c r="BA345" s="2900" t="n"/>
    </row>
    <row customFormat="1" r="346" s="2808" spans="1:55">
      <c r="A346" s="2899" t="s">
        <v>195</v>
      </c>
      <c r="B346" s="2897" t="n"/>
      <c r="C346" s="2899" t="n"/>
      <c r="D346" s="2899">
        <f>' SET Cost(staf+OS)'!D456/1000+'OS&amp;Travel Exp'!C36/1000</f>
        <v/>
      </c>
      <c r="E346" s="2899" t="n"/>
      <c r="F346" s="2899" t="n"/>
      <c r="G346" s="2899" t="n"/>
      <c r="H346" s="2899">
        <f>' SET Cost(staf+OS)'!E456/1000+'OS&amp;Travel Exp'!D36/1000</f>
        <v/>
      </c>
      <c r="I346" s="2899" t="n"/>
      <c r="J346" s="2899" t="n"/>
      <c r="K346" s="2899" t="n"/>
      <c r="L346" s="2899">
        <f>' SET Cost(staf+OS)'!F456/1000+'OS&amp;Travel Exp'!E36/1000</f>
        <v/>
      </c>
      <c r="M346" s="2899" t="n"/>
      <c r="N346" s="2899" t="n"/>
      <c r="O346" s="2899" t="n"/>
      <c r="P346" s="2899">
        <f>' SET Cost(staf+OS)'!G456/1000+'OS&amp;Travel Exp'!F36/1000</f>
        <v/>
      </c>
      <c r="Q346" s="2899" t="n"/>
      <c r="R346" s="2899" t="n"/>
      <c r="S346" s="2899" t="n"/>
      <c r="T346" s="2899">
        <f>' SET Cost(staf+OS)'!H456/1000+'OS&amp;Travel Exp'!G36/1000</f>
        <v/>
      </c>
      <c r="U346" s="2899" t="n"/>
      <c r="V346" s="2899" t="n"/>
      <c r="W346" s="2899" t="n"/>
      <c r="X346" s="2899">
        <f>' SET Cost(staf+OS)'!I456/1000+'OS&amp;Travel Exp'!H36/1000</f>
        <v/>
      </c>
      <c r="Y346" s="2899" t="n"/>
      <c r="Z346" s="2899" t="n"/>
      <c r="AA346" s="2899" t="n"/>
      <c r="AB346" s="2899">
        <f>' SET Cost(staf+OS)'!J456/1000+'OS&amp;Travel Exp'!I36/1000</f>
        <v/>
      </c>
      <c r="AC346" s="2899" t="n"/>
      <c r="AD346" s="2899" t="n"/>
      <c r="AE346" s="2899" t="n"/>
      <c r="AF346" s="2899">
        <f>' SET Cost(staf+OS)'!K456/1000+'OS&amp;Travel Exp'!J36/1000</f>
        <v/>
      </c>
      <c r="AG346" s="2899" t="n"/>
      <c r="AH346" s="2899" t="n"/>
      <c r="AI346" s="2899" t="n"/>
      <c r="AJ346" s="2899">
        <f>' SET Cost(staf+OS)'!L456/1000+'OS&amp;Travel Exp'!K36/1000</f>
        <v/>
      </c>
      <c r="AK346" s="2899" t="n"/>
      <c r="AL346" s="2899" t="n"/>
      <c r="AM346" s="2899" t="n"/>
      <c r="AN346" s="2899">
        <f>' SET Cost(staf+OS)'!M456/1000+'OS&amp;Travel Exp'!L36/1000</f>
        <v/>
      </c>
      <c r="AO346" s="2899" t="n"/>
      <c r="AP346" s="2899" t="n"/>
      <c r="AQ346" s="2899" t="n"/>
      <c r="AR346" s="2899">
        <f>' SET Cost(staf+OS)'!N456/1000+'OS&amp;Travel Exp'!M36/1000</f>
        <v/>
      </c>
      <c r="AS346" s="2899" t="n"/>
      <c r="AT346" s="2899" t="n"/>
      <c r="AU346" s="2899" t="n"/>
      <c r="AV346" s="2899">
        <f>' SET Cost(staf+OS)'!O456/1000+'OS&amp;Travel Exp'!N36/1000</f>
        <v/>
      </c>
      <c r="AW346" s="2899" t="n"/>
      <c r="AX346" s="2897" t="n"/>
      <c r="AY346" s="2899" t="n"/>
      <c r="AZ346" s="2899">
        <f>SUM(C346:AW346)</f>
        <v/>
      </c>
      <c r="BA346" s="2899" t="n"/>
    </row>
    <row customFormat="1" r="347" s="2808" spans="1:55">
      <c r="A347" s="2794" t="s">
        <v>366</v>
      </c>
      <c r="B347" s="2793" t="n"/>
      <c r="C347" s="2794" t="n"/>
      <c r="D347" s="2844">
        <f>'OS&amp;Travel Exp'!C11</f>
        <v/>
      </c>
      <c r="E347" s="2844" t="n"/>
      <c r="F347" s="2793" t="n"/>
      <c r="G347" s="2844" t="n"/>
      <c r="H347" s="2844">
        <f>'OS&amp;Travel Exp'!D11</f>
        <v/>
      </c>
      <c r="I347" s="2844" t="n"/>
      <c r="J347" s="2793" t="n"/>
      <c r="K347" s="2844" t="n"/>
      <c r="L347" s="2844">
        <f>'OS&amp;Travel Exp'!E11</f>
        <v/>
      </c>
      <c r="M347" s="2844" t="n"/>
      <c r="N347" s="2795" t="n"/>
      <c r="O347" s="2844" t="n"/>
      <c r="P347" s="2844">
        <f>'OS&amp;Travel Exp'!F11</f>
        <v/>
      </c>
      <c r="Q347" s="2844" t="n"/>
      <c r="R347" s="2793" t="n"/>
      <c r="S347" s="2844" t="n"/>
      <c r="T347" s="2844">
        <f>'OS&amp;Travel Exp'!G11</f>
        <v/>
      </c>
      <c r="U347" s="2844" t="n"/>
      <c r="V347" s="2795" t="n"/>
      <c r="W347" s="2844" t="n"/>
      <c r="X347" s="2844">
        <f>'OS&amp;Travel Exp'!H11</f>
        <v/>
      </c>
      <c r="Y347" s="2844" t="n"/>
      <c r="Z347" s="2795" t="n"/>
      <c r="AA347" s="2844" t="n"/>
      <c r="AB347" s="2844">
        <f>'OS&amp;Travel Exp'!I11</f>
        <v/>
      </c>
      <c r="AC347" s="2844" t="n"/>
      <c r="AD347" s="2795" t="n"/>
      <c r="AE347" s="2844" t="n"/>
      <c r="AF347" s="2844">
        <f>'OS&amp;Travel Exp'!J11</f>
        <v/>
      </c>
      <c r="AG347" s="2844" t="n"/>
      <c r="AH347" s="2795" t="n"/>
      <c r="AI347" s="2844" t="n"/>
      <c r="AJ347" s="2844">
        <f>'OS&amp;Travel Exp'!K11</f>
        <v/>
      </c>
      <c r="AK347" s="2844" t="n"/>
      <c r="AL347" s="2793" t="n"/>
      <c r="AM347" s="2844" t="n"/>
      <c r="AN347" s="2844">
        <f>'OS&amp;Travel Exp'!L11</f>
        <v/>
      </c>
      <c r="AO347" s="2844" t="n"/>
      <c r="AP347" s="2793" t="n"/>
      <c r="AQ347" s="2844" t="n"/>
      <c r="AR347" s="2844">
        <f>'OS&amp;Travel Exp'!M11</f>
        <v/>
      </c>
      <c r="AS347" s="2844" t="n"/>
      <c r="AT347" s="2793" t="n"/>
      <c r="AU347" s="2844" t="n"/>
      <c r="AV347" s="2844">
        <f>'OS&amp;Travel Exp'!N11</f>
        <v/>
      </c>
      <c r="AW347" s="2794" t="n"/>
      <c r="AX347" s="2793" t="n"/>
      <c r="AY347" s="2794" t="n"/>
      <c r="AZ347" s="2792">
        <f>SUM(C347:AW347)</f>
        <v/>
      </c>
      <c r="BA347" s="2900" t="n"/>
    </row>
    <row customFormat="1" r="348" s="2808" spans="1:55">
      <c r="A348" s="2899" t="s">
        <v>161</v>
      </c>
      <c r="B348" s="2897" t="n"/>
      <c r="C348" s="2899" t="n"/>
      <c r="D348" s="2894">
        <f>' SET Cost(staf+OS)'!D458/1000</f>
        <v/>
      </c>
      <c r="E348" s="2894" t="n"/>
      <c r="F348" s="2895" t="n"/>
      <c r="G348" s="2894" t="n"/>
      <c r="H348" s="2894">
        <f>' SET Cost(staf+OS)'!E458/1000</f>
        <v/>
      </c>
      <c r="I348" s="2894" t="n"/>
      <c r="J348" s="2895" t="n"/>
      <c r="K348" s="2894" t="n"/>
      <c r="L348" s="2894">
        <f>' SET Cost(staf+OS)'!F458/1000</f>
        <v/>
      </c>
      <c r="M348" s="2894" t="n"/>
      <c r="N348" s="2892" t="n"/>
      <c r="O348" s="2894" t="n"/>
      <c r="P348" s="2894">
        <f>' SET Cost(staf+OS)'!G458/1000</f>
        <v/>
      </c>
      <c r="Q348" s="2894" t="n"/>
      <c r="R348" s="2895" t="n"/>
      <c r="S348" s="2894" t="n"/>
      <c r="T348" s="2894">
        <f>' SET Cost(staf+OS)'!H458/1000</f>
        <v/>
      </c>
      <c r="U348" s="2894" t="n"/>
      <c r="V348" s="2892" t="n"/>
      <c r="W348" s="2894" t="n"/>
      <c r="X348" s="2894">
        <f>' SET Cost(staf+OS)'!I458/1000</f>
        <v/>
      </c>
      <c r="Y348" s="2894" t="n"/>
      <c r="Z348" s="2892" t="n"/>
      <c r="AA348" s="2894" t="n"/>
      <c r="AB348" s="2894">
        <f>' SET Cost(staf+OS)'!J458/1000</f>
        <v/>
      </c>
      <c r="AC348" s="2894" t="n"/>
      <c r="AD348" s="2892" t="n"/>
      <c r="AE348" s="2894" t="n"/>
      <c r="AF348" s="2894">
        <f>' SET Cost(staf+OS)'!K458/1000</f>
        <v/>
      </c>
      <c r="AG348" s="2894" t="n"/>
      <c r="AH348" s="2892" t="n"/>
      <c r="AI348" s="2894" t="n"/>
      <c r="AJ348" s="2894">
        <f>' SET Cost(staf+OS)'!L458/1000</f>
        <v/>
      </c>
      <c r="AK348" s="2894" t="n"/>
      <c r="AL348" s="2895" t="n"/>
      <c r="AM348" s="2894" t="n"/>
      <c r="AN348" s="2894">
        <f>' SET Cost(staf+OS)'!M458/1000</f>
        <v/>
      </c>
      <c r="AO348" s="2894" t="n"/>
      <c r="AP348" s="2895" t="n"/>
      <c r="AQ348" s="2894" t="n"/>
      <c r="AR348" s="2894">
        <f>' SET Cost(staf+OS)'!N458/1000</f>
        <v/>
      </c>
      <c r="AS348" s="2894" t="n"/>
      <c r="AT348" s="2895" t="n"/>
      <c r="AU348" s="2894" t="n"/>
      <c r="AV348" s="2894">
        <f>' SET Cost(staf+OS)'!O458/1000</f>
        <v/>
      </c>
      <c r="AW348" s="2899" t="n"/>
      <c r="AX348" s="2897" t="n"/>
      <c r="AY348" s="2899" t="n"/>
      <c r="AZ348" s="2899">
        <f>SUM(C348:AW348)</f>
        <v/>
      </c>
      <c r="BA348" s="2899" t="n"/>
    </row>
    <row customFormat="1" r="349" s="2808" spans="1:55">
      <c r="A349" s="2902" t="s">
        <v>367</v>
      </c>
      <c r="B349" s="2897" t="n"/>
      <c r="C349" s="2900" t="n"/>
      <c r="D349" s="2894">
        <f>' SET Cost(staf+OS)'!D459/1000</f>
        <v/>
      </c>
      <c r="E349" s="2894" t="n"/>
      <c r="F349" s="2895" t="n"/>
      <c r="G349" s="2894" t="n"/>
      <c r="H349" s="2894">
        <f>' SET Cost(staf+OS)'!E459/1000</f>
        <v/>
      </c>
      <c r="I349" s="2894" t="n"/>
      <c r="J349" s="2895" t="n"/>
      <c r="K349" s="2894" t="n"/>
      <c r="L349" s="2894">
        <f>' SET Cost(staf+OS)'!F459/1000</f>
        <v/>
      </c>
      <c r="M349" s="2894" t="n"/>
      <c r="N349" s="2892" t="n"/>
      <c r="O349" s="2894" t="n"/>
      <c r="P349" s="2894">
        <f>' SET Cost(staf+OS)'!G459/1000</f>
        <v/>
      </c>
      <c r="Q349" s="2894" t="n"/>
      <c r="R349" s="2895" t="n"/>
      <c r="S349" s="2894" t="n"/>
      <c r="T349" s="2894">
        <f>' SET Cost(staf+OS)'!H459/1000</f>
        <v/>
      </c>
      <c r="U349" s="2894" t="n"/>
      <c r="V349" s="2892" t="n"/>
      <c r="W349" s="2894" t="n"/>
      <c r="X349" s="2894">
        <f>' SET Cost(staf+OS)'!I459/1000</f>
        <v/>
      </c>
      <c r="Y349" s="2894" t="n"/>
      <c r="Z349" s="2892" t="n"/>
      <c r="AA349" s="2894" t="n"/>
      <c r="AB349" s="2894">
        <f>' SET Cost(staf+OS)'!J459/1000</f>
        <v/>
      </c>
      <c r="AC349" s="2894" t="n"/>
      <c r="AD349" s="2892" t="n"/>
      <c r="AE349" s="2894" t="n"/>
      <c r="AF349" s="2894">
        <f>' SET Cost(staf+OS)'!K459/1000</f>
        <v/>
      </c>
      <c r="AG349" s="2894" t="n"/>
      <c r="AH349" s="2892" t="n"/>
      <c r="AI349" s="2894" t="n"/>
      <c r="AJ349" s="2894">
        <f>' SET Cost(staf+OS)'!L459/1000</f>
        <v/>
      </c>
      <c r="AK349" s="2894" t="n"/>
      <c r="AL349" s="2895" t="n"/>
      <c r="AM349" s="2894" t="n"/>
      <c r="AN349" s="2894">
        <f>' SET Cost(staf+OS)'!M459/1000</f>
        <v/>
      </c>
      <c r="AO349" s="2894" t="n"/>
      <c r="AP349" s="2895" t="n"/>
      <c r="AQ349" s="2894" t="n"/>
      <c r="AR349" s="2894">
        <f>' SET Cost(staf+OS)'!N459/1000</f>
        <v/>
      </c>
      <c r="AS349" s="2894" t="n"/>
      <c r="AT349" s="2895" t="n"/>
      <c r="AU349" s="2894" t="n"/>
      <c r="AV349" s="2894">
        <f>' SET Cost(staf+OS)'!O459/1000</f>
        <v/>
      </c>
      <c r="AW349" s="2900" t="n"/>
      <c r="AX349" s="2897" t="n"/>
      <c r="AY349" s="2900" t="n"/>
      <c r="AZ349" s="2899">
        <f>SUM(C349:AW349)</f>
        <v/>
      </c>
      <c r="BA349" s="2900" t="n"/>
    </row>
    <row customFormat="1" r="350" s="2808" spans="1:55">
      <c r="A350" s="2899" t="s">
        <v>232</v>
      </c>
      <c r="B350" s="2897" t="n"/>
      <c r="C350" s="2899" t="n"/>
      <c r="D350" s="2894">
        <f>' SET Cost(staf+OS)'!D460/1000</f>
        <v/>
      </c>
      <c r="E350" s="2894" t="n"/>
      <c r="F350" s="2895" t="n"/>
      <c r="G350" s="2894" t="n"/>
      <c r="H350" s="2894">
        <f>' SET Cost(staf+OS)'!E460/1000</f>
        <v/>
      </c>
      <c r="I350" s="2894" t="n"/>
      <c r="J350" s="2895" t="n"/>
      <c r="K350" s="2894" t="n"/>
      <c r="L350" s="2894">
        <f>' SET Cost(staf+OS)'!F460/1000</f>
        <v/>
      </c>
      <c r="M350" s="2894" t="n"/>
      <c r="N350" s="2892" t="n"/>
      <c r="O350" s="2894" t="n"/>
      <c r="P350" s="2894">
        <f>' SET Cost(staf+OS)'!G460/1000</f>
        <v/>
      </c>
      <c r="Q350" s="2894" t="n"/>
      <c r="R350" s="2895" t="n"/>
      <c r="S350" s="2894" t="n"/>
      <c r="T350" s="2894">
        <f>' SET Cost(staf+OS)'!H460/1000</f>
        <v/>
      </c>
      <c r="U350" s="2894" t="n"/>
      <c r="V350" s="2892" t="n"/>
      <c r="W350" s="2894" t="n"/>
      <c r="X350" s="2894">
        <f>' SET Cost(staf+OS)'!I460/1000</f>
        <v/>
      </c>
      <c r="Y350" s="2894" t="n"/>
      <c r="Z350" s="2892" t="n"/>
      <c r="AA350" s="2894" t="n"/>
      <c r="AB350" s="2894">
        <f>' SET Cost(staf+OS)'!J460/1000</f>
        <v/>
      </c>
      <c r="AC350" s="2894" t="n"/>
      <c r="AD350" s="2892" t="n"/>
      <c r="AE350" s="2894" t="n"/>
      <c r="AF350" s="2894">
        <f>' SET Cost(staf+OS)'!K460/1000</f>
        <v/>
      </c>
      <c r="AG350" s="2894" t="n"/>
      <c r="AH350" s="2892" t="n"/>
      <c r="AI350" s="2894" t="n"/>
      <c r="AJ350" s="2894">
        <f>' SET Cost(staf+OS)'!L460/1000</f>
        <v/>
      </c>
      <c r="AK350" s="2894" t="n"/>
      <c r="AL350" s="2895" t="n"/>
      <c r="AM350" s="2894" t="n"/>
      <c r="AN350" s="2894">
        <f>' SET Cost(staf+OS)'!M460/1000</f>
        <v/>
      </c>
      <c r="AO350" s="2894" t="n"/>
      <c r="AP350" s="2895" t="n"/>
      <c r="AQ350" s="2894" t="n"/>
      <c r="AR350" s="2894">
        <f>' SET Cost(staf+OS)'!N460/1000</f>
        <v/>
      </c>
      <c r="AS350" s="2894" t="n"/>
      <c r="AT350" s="2895" t="n"/>
      <c r="AU350" s="2894" t="n"/>
      <c r="AV350" s="2894">
        <f>' SET Cost(staf+OS)'!O460/1000</f>
        <v/>
      </c>
      <c r="AW350" s="2899" t="n"/>
      <c r="AX350" s="2897" t="n"/>
      <c r="AY350" s="2899" t="n"/>
      <c r="AZ350" s="2899">
        <f>SUM(C350:AW350)</f>
        <v/>
      </c>
      <c r="BA350" s="2899" t="n"/>
    </row>
    <row customFormat="1" r="351" s="2808" spans="1:55">
      <c r="A351" s="2899" t="s">
        <v>233</v>
      </c>
      <c r="B351" s="2897" t="n"/>
      <c r="C351" s="2899" t="n"/>
      <c r="D351" s="2894">
        <f>' SET Cost(staf+OS)'!D461/1000</f>
        <v/>
      </c>
      <c r="E351" s="2894" t="n"/>
      <c r="F351" s="2895" t="n"/>
      <c r="G351" s="2894" t="n"/>
      <c r="H351" s="2894">
        <f>' SET Cost(staf+OS)'!E461/1000</f>
        <v/>
      </c>
      <c r="I351" s="2894" t="n"/>
      <c r="J351" s="2895" t="n"/>
      <c r="K351" s="2894" t="n"/>
      <c r="L351" s="2894">
        <f>' SET Cost(staf+OS)'!F461/1000</f>
        <v/>
      </c>
      <c r="M351" s="2894" t="n"/>
      <c r="N351" s="2892" t="n"/>
      <c r="O351" s="2894" t="n"/>
      <c r="P351" s="2894">
        <f>' SET Cost(staf+OS)'!G461/1000</f>
        <v/>
      </c>
      <c r="Q351" s="2894" t="n"/>
      <c r="R351" s="2895" t="n"/>
      <c r="S351" s="2894" t="n"/>
      <c r="T351" s="2894">
        <f>' SET Cost(staf+OS)'!H461/1000</f>
        <v/>
      </c>
      <c r="U351" s="2894" t="n"/>
      <c r="V351" s="2892" t="n"/>
      <c r="W351" s="2894" t="n"/>
      <c r="X351" s="2894">
        <f>' SET Cost(staf+OS)'!I461/1000</f>
        <v/>
      </c>
      <c r="Y351" s="2894" t="n"/>
      <c r="Z351" s="2892" t="n"/>
      <c r="AA351" s="2894" t="n"/>
      <c r="AB351" s="2894">
        <f>' SET Cost(staf+OS)'!J461/1000</f>
        <v/>
      </c>
      <c r="AC351" s="2894" t="n"/>
      <c r="AD351" s="2892" t="n"/>
      <c r="AE351" s="2894" t="n"/>
      <c r="AF351" s="2894">
        <f>' SET Cost(staf+OS)'!K461/1000</f>
        <v/>
      </c>
      <c r="AG351" s="2894" t="n"/>
      <c r="AH351" s="2892" t="n"/>
      <c r="AI351" s="2894" t="n"/>
      <c r="AJ351" s="2894">
        <f>' SET Cost(staf+OS)'!L461/1000</f>
        <v/>
      </c>
      <c r="AK351" s="2894" t="n"/>
      <c r="AL351" s="2895" t="n"/>
      <c r="AM351" s="2894" t="n"/>
      <c r="AN351" s="2894">
        <f>' SET Cost(staf+OS)'!M461/1000</f>
        <v/>
      </c>
      <c r="AO351" s="2894" t="n"/>
      <c r="AP351" s="2895" t="n"/>
      <c r="AQ351" s="2894" t="n"/>
      <c r="AR351" s="2894">
        <f>' SET Cost(staf+OS)'!N461/1000</f>
        <v/>
      </c>
      <c r="AS351" s="2894" t="n"/>
      <c r="AT351" s="2895" t="n"/>
      <c r="AU351" s="2894" t="n"/>
      <c r="AV351" s="2894">
        <f>' SET Cost(staf+OS)'!O461/1000</f>
        <v/>
      </c>
      <c r="AW351" s="2899" t="n"/>
      <c r="AX351" s="2897" t="n"/>
      <c r="AY351" s="2899" t="n"/>
      <c r="AZ351" s="2899">
        <f>SUM(C351:AW351)</f>
        <v/>
      </c>
      <c r="BA351" s="2899" t="n"/>
    </row>
    <row customFormat="1" r="352" s="2808" spans="1:55">
      <c r="A352" s="2902" t="s">
        <v>368</v>
      </c>
      <c r="B352" s="2897" t="n"/>
      <c r="C352" s="2900" t="n"/>
      <c r="D352" s="2894">
        <f>' SET Cost(staf+OS)'!D462/1000</f>
        <v/>
      </c>
      <c r="E352" s="2894" t="n"/>
      <c r="F352" s="2895" t="n"/>
      <c r="G352" s="2894" t="n"/>
      <c r="H352" s="2894">
        <f>' SET Cost(staf+OS)'!E462/1000</f>
        <v/>
      </c>
      <c r="I352" s="2894" t="n"/>
      <c r="J352" s="2895" t="n"/>
      <c r="K352" s="2894" t="n"/>
      <c r="L352" s="2894">
        <f>' SET Cost(staf+OS)'!F462/1000</f>
        <v/>
      </c>
      <c r="M352" s="2894" t="n"/>
      <c r="N352" s="2892" t="n"/>
      <c r="O352" s="2894" t="n"/>
      <c r="P352" s="2894">
        <f>' SET Cost(staf+OS)'!G462/1000</f>
        <v/>
      </c>
      <c r="Q352" s="2894" t="n"/>
      <c r="R352" s="2895" t="n"/>
      <c r="S352" s="2894" t="n"/>
      <c r="T352" s="2894">
        <f>' SET Cost(staf+OS)'!H462/1000</f>
        <v/>
      </c>
      <c r="U352" s="2894" t="n"/>
      <c r="V352" s="2892" t="n"/>
      <c r="W352" s="2894" t="n"/>
      <c r="X352" s="2894">
        <f>' SET Cost(staf+OS)'!I462/1000</f>
        <v/>
      </c>
      <c r="Y352" s="2894" t="n"/>
      <c r="Z352" s="2892" t="n"/>
      <c r="AA352" s="2894" t="n"/>
      <c r="AB352" s="2894">
        <f>' SET Cost(staf+OS)'!J462/1000</f>
        <v/>
      </c>
      <c r="AC352" s="2894" t="n"/>
      <c r="AD352" s="2892" t="n"/>
      <c r="AE352" s="2894" t="n"/>
      <c r="AF352" s="2894">
        <f>' SET Cost(staf+OS)'!K462/1000</f>
        <v/>
      </c>
      <c r="AG352" s="2894" t="n"/>
      <c r="AH352" s="2892" t="n"/>
      <c r="AI352" s="2894" t="n"/>
      <c r="AJ352" s="2894">
        <f>' SET Cost(staf+OS)'!L462/1000</f>
        <v/>
      </c>
      <c r="AK352" s="2894" t="n"/>
      <c r="AL352" s="2895" t="n"/>
      <c r="AM352" s="2894" t="n"/>
      <c r="AN352" s="2894">
        <f>' SET Cost(staf+OS)'!M462/1000</f>
        <v/>
      </c>
      <c r="AO352" s="2894" t="n"/>
      <c r="AP352" s="2895" t="n"/>
      <c r="AQ352" s="2894" t="n"/>
      <c r="AR352" s="2894">
        <f>' SET Cost(staf+OS)'!N462/1000</f>
        <v/>
      </c>
      <c r="AS352" s="2894" t="n"/>
      <c r="AT352" s="2895" t="n"/>
      <c r="AU352" s="2894" t="n"/>
      <c r="AV352" s="2894">
        <f>' SET Cost(staf+OS)'!O462/1000</f>
        <v/>
      </c>
      <c r="AW352" s="2900" t="n"/>
      <c r="AX352" s="2897" t="n"/>
      <c r="AY352" s="2900" t="n"/>
      <c r="AZ352" s="2899">
        <f>SUM(C352:AW352)</f>
        <v/>
      </c>
      <c r="BA352" s="2900" t="n"/>
    </row>
    <row customFormat="1" r="353" s="2808" spans="1:55">
      <c r="A353" s="2902" t="s">
        <v>369</v>
      </c>
      <c r="B353" s="2897" t="n"/>
      <c r="C353" s="2900" t="n"/>
      <c r="D353" s="2894">
        <f>' SET Cost(staf+OS)'!D463/1000</f>
        <v/>
      </c>
      <c r="E353" s="2894" t="n"/>
      <c r="F353" s="2895" t="n"/>
      <c r="G353" s="2894" t="n"/>
      <c r="H353" s="2894">
        <f>' SET Cost(staf+OS)'!E463/1000</f>
        <v/>
      </c>
      <c r="I353" s="2894" t="n"/>
      <c r="J353" s="2895" t="n"/>
      <c r="K353" s="2894" t="n"/>
      <c r="L353" s="2894">
        <f>' SET Cost(staf+OS)'!F463/1000</f>
        <v/>
      </c>
      <c r="M353" s="2894" t="n"/>
      <c r="N353" s="2892" t="n"/>
      <c r="O353" s="2894" t="n"/>
      <c r="P353" s="2894">
        <f>' SET Cost(staf+OS)'!G463/1000</f>
        <v/>
      </c>
      <c r="Q353" s="2894" t="n"/>
      <c r="R353" s="2895" t="n"/>
      <c r="S353" s="2894" t="n"/>
      <c r="T353" s="2894">
        <f>' SET Cost(staf+OS)'!H463/1000</f>
        <v/>
      </c>
      <c r="U353" s="2894" t="n"/>
      <c r="V353" s="2892" t="n"/>
      <c r="W353" s="2894" t="n"/>
      <c r="X353" s="2894">
        <f>' SET Cost(staf+OS)'!I463/1000</f>
        <v/>
      </c>
      <c r="Y353" s="2894" t="n"/>
      <c r="Z353" s="2892" t="n"/>
      <c r="AA353" s="2894" t="n"/>
      <c r="AB353" s="2894">
        <f>' SET Cost(staf+OS)'!J463/1000</f>
        <v/>
      </c>
      <c r="AC353" s="2894" t="n"/>
      <c r="AD353" s="2892" t="n"/>
      <c r="AE353" s="2894" t="n"/>
      <c r="AF353" s="2894">
        <f>' SET Cost(staf+OS)'!K463/1000</f>
        <v/>
      </c>
      <c r="AG353" s="2894" t="n"/>
      <c r="AH353" s="2892" t="n"/>
      <c r="AI353" s="2894" t="n"/>
      <c r="AJ353" s="2894">
        <f>' SET Cost(staf+OS)'!L463/1000</f>
        <v/>
      </c>
      <c r="AK353" s="2894" t="n"/>
      <c r="AL353" s="2895" t="n"/>
      <c r="AM353" s="2894" t="n"/>
      <c r="AN353" s="2894">
        <f>' SET Cost(staf+OS)'!M463/1000</f>
        <v/>
      </c>
      <c r="AO353" s="2894" t="n"/>
      <c r="AP353" s="2895" t="n"/>
      <c r="AQ353" s="2894" t="n"/>
      <c r="AR353" s="2894">
        <f>' SET Cost(staf+OS)'!N463/1000</f>
        <v/>
      </c>
      <c r="AS353" s="2894" t="n"/>
      <c r="AT353" s="2895" t="n"/>
      <c r="AU353" s="2894" t="n"/>
      <c r="AV353" s="2894">
        <f>' SET Cost(staf+OS)'!O463/1000</f>
        <v/>
      </c>
      <c r="AW353" s="2900" t="n"/>
      <c r="AX353" s="2897" t="n"/>
      <c r="AY353" s="2900" t="n"/>
      <c r="AZ353" s="2899">
        <f>SUM(C353:AW353)</f>
        <v/>
      </c>
      <c r="BA353" s="2900" t="n"/>
    </row>
    <row customFormat="1" r="354" s="2808" spans="1:55">
      <c r="A354" s="2902" t="s">
        <v>370</v>
      </c>
      <c r="B354" s="2897" t="n"/>
      <c r="C354" s="2900" t="n"/>
      <c r="D354" s="2894">
        <f>' SET Cost(staf+OS)'!D464/1000</f>
        <v/>
      </c>
      <c r="E354" s="2894" t="n"/>
      <c r="F354" s="2895" t="n"/>
      <c r="G354" s="2894" t="n"/>
      <c r="H354" s="2894">
        <f>' SET Cost(staf+OS)'!E464/1000</f>
        <v/>
      </c>
      <c r="I354" s="2894" t="n"/>
      <c r="J354" s="2895" t="n"/>
      <c r="K354" s="2894" t="n"/>
      <c r="L354" s="2894">
        <f>' SET Cost(staf+OS)'!F464/1000</f>
        <v/>
      </c>
      <c r="M354" s="2894" t="n"/>
      <c r="N354" s="2892" t="n"/>
      <c r="O354" s="2894" t="n"/>
      <c r="P354" s="2894">
        <f>' SET Cost(staf+OS)'!G464/1000</f>
        <v/>
      </c>
      <c r="Q354" s="2894" t="n"/>
      <c r="R354" s="2895" t="n"/>
      <c r="S354" s="2894" t="n"/>
      <c r="T354" s="2894">
        <f>' SET Cost(staf+OS)'!H464/1000</f>
        <v/>
      </c>
      <c r="U354" s="2894" t="n"/>
      <c r="V354" s="2892" t="n"/>
      <c r="W354" s="2894" t="n"/>
      <c r="X354" s="2894">
        <f>' SET Cost(staf+OS)'!I464/1000</f>
        <v/>
      </c>
      <c r="Y354" s="2894" t="n"/>
      <c r="Z354" s="2892" t="n"/>
      <c r="AA354" s="2894" t="n"/>
      <c r="AB354" s="2894">
        <f>' SET Cost(staf+OS)'!J464/1000</f>
        <v/>
      </c>
      <c r="AC354" s="2894" t="n"/>
      <c r="AD354" s="2892" t="n"/>
      <c r="AE354" s="2894" t="n"/>
      <c r="AF354" s="2894">
        <f>' SET Cost(staf+OS)'!K464/1000</f>
        <v/>
      </c>
      <c r="AG354" s="2894" t="n"/>
      <c r="AH354" s="2892" t="n"/>
      <c r="AI354" s="2894" t="n"/>
      <c r="AJ354" s="2894">
        <f>' SET Cost(staf+OS)'!L464/1000</f>
        <v/>
      </c>
      <c r="AK354" s="2894" t="n"/>
      <c r="AL354" s="2895" t="n"/>
      <c r="AM354" s="2894" t="n"/>
      <c r="AN354" s="2894">
        <f>' SET Cost(staf+OS)'!M464/1000</f>
        <v/>
      </c>
      <c r="AO354" s="2894" t="n"/>
      <c r="AP354" s="2895" t="n"/>
      <c r="AQ354" s="2894" t="n"/>
      <c r="AR354" s="2894">
        <f>' SET Cost(staf+OS)'!N464/1000</f>
        <v/>
      </c>
      <c r="AS354" s="2894" t="n"/>
      <c r="AT354" s="2895" t="n"/>
      <c r="AU354" s="2894" t="n"/>
      <c r="AV354" s="2894">
        <f>' SET Cost(staf+OS)'!O464/1000</f>
        <v/>
      </c>
      <c r="AW354" s="2900" t="n"/>
      <c r="AX354" s="2897" t="n"/>
      <c r="AY354" s="2900" t="n"/>
      <c r="AZ354" s="2899">
        <f>SUM(C354:AW354)</f>
        <v/>
      </c>
      <c r="BA354" s="2900" t="n"/>
    </row>
    <row customFormat="1" r="355" s="2808" spans="1:55">
      <c r="A355" s="2902" t="s">
        <v>371</v>
      </c>
      <c r="B355" s="2897" t="n"/>
      <c r="C355" s="2900" t="n"/>
      <c r="D355" s="2894">
        <f>' SET Cost(staf+OS)'!D465/1000</f>
        <v/>
      </c>
      <c r="E355" s="2894" t="n"/>
      <c r="F355" s="2895" t="n"/>
      <c r="G355" s="2894" t="n"/>
      <c r="H355" s="2894">
        <f>' SET Cost(staf+OS)'!E465/1000</f>
        <v/>
      </c>
      <c r="I355" s="2894" t="n"/>
      <c r="J355" s="2895" t="n"/>
      <c r="K355" s="2894" t="n"/>
      <c r="L355" s="2894">
        <f>' SET Cost(staf+OS)'!F465/1000</f>
        <v/>
      </c>
      <c r="M355" s="2894" t="n"/>
      <c r="N355" s="2892" t="n"/>
      <c r="O355" s="2894" t="n"/>
      <c r="P355" s="2894">
        <f>' SET Cost(staf+OS)'!G465/1000</f>
        <v/>
      </c>
      <c r="Q355" s="2894" t="n"/>
      <c r="R355" s="2895" t="n"/>
      <c r="S355" s="2894" t="n"/>
      <c r="T355" s="2894">
        <f>' SET Cost(staf+OS)'!H465/1000</f>
        <v/>
      </c>
      <c r="U355" s="2894" t="n"/>
      <c r="V355" s="2892" t="n"/>
      <c r="W355" s="2894" t="n"/>
      <c r="X355" s="2894">
        <f>' SET Cost(staf+OS)'!I465/1000</f>
        <v/>
      </c>
      <c r="Y355" s="2894" t="n"/>
      <c r="Z355" s="2892" t="n"/>
      <c r="AA355" s="2894" t="n"/>
      <c r="AB355" s="2894">
        <f>' SET Cost(staf+OS)'!J465/1000</f>
        <v/>
      </c>
      <c r="AC355" s="2894" t="n"/>
      <c r="AD355" s="2892" t="n"/>
      <c r="AE355" s="2894" t="n"/>
      <c r="AF355" s="2894">
        <f>' SET Cost(staf+OS)'!K465/1000</f>
        <v/>
      </c>
      <c r="AG355" s="2894" t="n"/>
      <c r="AH355" s="2892" t="n"/>
      <c r="AI355" s="2894" t="n"/>
      <c r="AJ355" s="2894">
        <f>' SET Cost(staf+OS)'!L465/1000</f>
        <v/>
      </c>
      <c r="AK355" s="2894" t="n"/>
      <c r="AL355" s="2895" t="n"/>
      <c r="AM355" s="2894" t="n"/>
      <c r="AN355" s="2894">
        <f>' SET Cost(staf+OS)'!M465/1000</f>
        <v/>
      </c>
      <c r="AO355" s="2894" t="n"/>
      <c r="AP355" s="2895" t="n"/>
      <c r="AQ355" s="2894" t="n"/>
      <c r="AR355" s="2894">
        <f>' SET Cost(staf+OS)'!N465/1000</f>
        <v/>
      </c>
      <c r="AS355" s="2894" t="n"/>
      <c r="AT355" s="2895" t="n"/>
      <c r="AU355" s="2894" t="n"/>
      <c r="AV355" s="2894">
        <f>' SET Cost(staf+OS)'!O465/1000</f>
        <v/>
      </c>
      <c r="AW355" s="2900" t="n"/>
      <c r="AX355" s="2897" t="n"/>
      <c r="AY355" s="2900" t="n"/>
      <c r="AZ355" s="2899">
        <f>SUM(C355:AW355)</f>
        <v/>
      </c>
      <c r="BA355" s="2900" t="n"/>
    </row>
    <row customFormat="1" r="356" s="2808" spans="1:55">
      <c r="A356" s="2902" t="s">
        <v>372</v>
      </c>
      <c r="B356" s="2897" t="n"/>
      <c r="C356" s="2900" t="n"/>
      <c r="D356" s="2894">
        <f>' SET Cost(staf+OS)'!D466/1000</f>
        <v/>
      </c>
      <c r="E356" s="2894" t="n"/>
      <c r="F356" s="2895" t="n"/>
      <c r="G356" s="2894" t="n"/>
      <c r="H356" s="2894">
        <f>' SET Cost(staf+OS)'!E466/1000</f>
        <v/>
      </c>
      <c r="I356" s="2894" t="n"/>
      <c r="J356" s="2895" t="n"/>
      <c r="K356" s="2894" t="n"/>
      <c r="L356" s="2894">
        <f>' SET Cost(staf+OS)'!F466/1000</f>
        <v/>
      </c>
      <c r="M356" s="2894" t="n"/>
      <c r="N356" s="2892" t="n"/>
      <c r="O356" s="2894" t="n"/>
      <c r="P356" s="2894">
        <f>' SET Cost(staf+OS)'!G466/1000</f>
        <v/>
      </c>
      <c r="Q356" s="2894" t="n"/>
      <c r="R356" s="2895" t="n"/>
      <c r="S356" s="2894" t="n"/>
      <c r="T356" s="2894">
        <f>' SET Cost(staf+OS)'!H466/1000</f>
        <v/>
      </c>
      <c r="U356" s="2894" t="n"/>
      <c r="V356" s="2892" t="n"/>
      <c r="W356" s="2894" t="n"/>
      <c r="X356" s="2894">
        <f>' SET Cost(staf+OS)'!I466/1000</f>
        <v/>
      </c>
      <c r="Y356" s="2894" t="n"/>
      <c r="Z356" s="2892" t="n"/>
      <c r="AA356" s="2894" t="n"/>
      <c r="AB356" s="2894">
        <f>' SET Cost(staf+OS)'!J466/1000</f>
        <v/>
      </c>
      <c r="AC356" s="2894" t="n"/>
      <c r="AD356" s="2892" t="n"/>
      <c r="AE356" s="2894" t="n"/>
      <c r="AF356" s="2894">
        <f>' SET Cost(staf+OS)'!K466/1000</f>
        <v/>
      </c>
      <c r="AG356" s="2894" t="n"/>
      <c r="AH356" s="2892" t="n"/>
      <c r="AI356" s="2894" t="n"/>
      <c r="AJ356" s="2894">
        <f>' SET Cost(staf+OS)'!L466/1000</f>
        <v/>
      </c>
      <c r="AK356" s="2894" t="n"/>
      <c r="AL356" s="2895" t="n"/>
      <c r="AM356" s="2894" t="n"/>
      <c r="AN356" s="2894">
        <f>' SET Cost(staf+OS)'!M466/1000</f>
        <v/>
      </c>
      <c r="AO356" s="2894" t="n"/>
      <c r="AP356" s="2895" t="n"/>
      <c r="AQ356" s="2894" t="n"/>
      <c r="AR356" s="2894">
        <f>' SET Cost(staf+OS)'!N466/1000</f>
        <v/>
      </c>
      <c r="AS356" s="2894" t="n"/>
      <c r="AT356" s="2895" t="n"/>
      <c r="AU356" s="2894" t="n"/>
      <c r="AV356" s="2894">
        <f>' SET Cost(staf+OS)'!O466/1000</f>
        <v/>
      </c>
      <c r="AW356" s="2900" t="n"/>
      <c r="AX356" s="2897" t="n"/>
      <c r="AY356" s="2900" t="n"/>
      <c r="AZ356" s="2899">
        <f>SUM(C356:AW356)</f>
        <v/>
      </c>
      <c r="BA356" s="2900" t="n"/>
    </row>
    <row customFormat="1" r="357" s="2808" spans="1:55">
      <c r="A357" s="2903" t="s">
        <v>89</v>
      </c>
      <c r="B357" s="2897" t="n"/>
      <c r="C357" s="2899">
        <f>'FY18 SET'!G59/1000</f>
        <v/>
      </c>
      <c r="D357" s="2899" t="n"/>
      <c r="E357" s="2899" t="n"/>
      <c r="F357" s="2897" t="n"/>
      <c r="G357" s="2899">
        <f>'FY18 SET'!H59/1000</f>
        <v/>
      </c>
      <c r="H357" s="2899" t="n"/>
      <c r="I357" s="2899" t="n"/>
      <c r="J357" s="2897" t="n"/>
      <c r="K357" s="2899">
        <f>'FY18 SET'!I59/1000</f>
        <v/>
      </c>
      <c r="L357" s="2899" t="n"/>
      <c r="M357" s="2899" t="n"/>
      <c r="N357" s="2898" t="n"/>
      <c r="O357" s="2899">
        <f>'FY18 SET'!J59/1000</f>
        <v/>
      </c>
      <c r="P357" s="2899" t="n"/>
      <c r="Q357" s="2899" t="n"/>
      <c r="R357" s="2897" t="n"/>
      <c r="S357" s="2899">
        <f>'FY18 SET'!K59/1000</f>
        <v/>
      </c>
      <c r="T357" s="2899" t="n"/>
      <c r="U357" s="2899" t="n"/>
      <c r="V357" s="2898" t="n"/>
      <c r="W357" s="2899">
        <f>'FY18 SET'!L59/1000</f>
        <v/>
      </c>
      <c r="X357" s="2899" t="n"/>
      <c r="Y357" s="2899" t="n"/>
      <c r="Z357" s="2898" t="n"/>
      <c r="AA357" s="2899">
        <f>'FY18 SET'!N59/1000</f>
        <v/>
      </c>
      <c r="AB357" s="2899" t="n"/>
      <c r="AC357" s="2899" t="n"/>
      <c r="AD357" s="2898" t="n"/>
      <c r="AE357" s="2899">
        <f>'FY18 SET'!O59/1000</f>
        <v/>
      </c>
      <c r="AF357" s="2899" t="n"/>
      <c r="AG357" s="2899" t="n"/>
      <c r="AH357" s="2898" t="n"/>
      <c r="AI357" s="2899">
        <f>'FY18 SET'!P59/1000</f>
        <v/>
      </c>
      <c r="AJ357" s="2899" t="n"/>
      <c r="AK357" s="2899" t="n"/>
      <c r="AL357" s="2897" t="n"/>
      <c r="AM357" s="2899">
        <f>'FY18 SET'!Q59/1000</f>
        <v/>
      </c>
      <c r="AN357" s="2899" t="n"/>
      <c r="AO357" s="2899" t="n"/>
      <c r="AP357" s="2897" t="n"/>
      <c r="AQ357" s="2899">
        <f>'FY18 SET'!R59/1000</f>
        <v/>
      </c>
      <c r="AR357" s="2899" t="n"/>
      <c r="AS357" s="2899" t="n"/>
      <c r="AT357" s="2897" t="n"/>
      <c r="AU357" s="2899">
        <f>'FY18 SET'!S59/1000</f>
        <v/>
      </c>
      <c r="AV357" s="2899" t="n"/>
      <c r="AW357" s="2899" t="n"/>
      <c r="AX357" s="2897" t="n"/>
      <c r="AY357" s="2899">
        <f>SUM(B357:AV357)</f>
        <v/>
      </c>
      <c r="AZ357" s="2899" t="n"/>
      <c r="BA357" s="2899" t="n"/>
    </row>
    <row customFormat="1" r="358" s="2808" spans="1:55">
      <c r="A358" s="2910" t="s">
        <v>153</v>
      </c>
      <c r="B358" s="2897" t="n"/>
      <c r="C358" s="2911" t="n"/>
      <c r="D358" s="2911" t="n"/>
      <c r="E358" s="2911">
        <f>SUM(C338:C358)-SUM(D338:D358)</f>
        <v/>
      </c>
      <c r="F358" s="2897" t="n"/>
      <c r="G358" s="2911" t="n"/>
      <c r="H358" s="2911" t="n"/>
      <c r="I358" s="2911">
        <f>SUM(G338:G358)-SUM(H338:H358)</f>
        <v/>
      </c>
      <c r="J358" s="2897" t="n"/>
      <c r="K358" s="2911" t="n"/>
      <c r="L358" s="2911" t="n"/>
      <c r="M358" s="2911">
        <f>SUM(K338:K358)-SUM(L338:L358)</f>
        <v/>
      </c>
      <c r="N358" s="2898" t="n"/>
      <c r="O358" s="2911" t="n"/>
      <c r="P358" s="2911" t="n"/>
      <c r="Q358" s="2911">
        <f>SUM(O338:O358)-SUM(P338:P358)</f>
        <v/>
      </c>
      <c r="R358" s="2897" t="n"/>
      <c r="S358" s="2911" t="n"/>
      <c r="T358" s="2911" t="n"/>
      <c r="U358" s="2911">
        <f>SUM(S338:S358)-SUM(T338:T358)</f>
        <v/>
      </c>
      <c r="V358" s="2898" t="n"/>
      <c r="W358" s="2911" t="n"/>
      <c r="X358" s="2911" t="n"/>
      <c r="Y358" s="2911">
        <f>SUM(W338:W358)-SUM(X338:X358)</f>
        <v/>
      </c>
      <c r="Z358" s="2898" t="n"/>
      <c r="AA358" s="2911" t="n"/>
      <c r="AB358" s="2911" t="n"/>
      <c r="AC358" s="2911">
        <f>SUM(AA338:AA358)-SUM(AB338:AB358)</f>
        <v/>
      </c>
      <c r="AD358" s="2898" t="n"/>
      <c r="AE358" s="2911" t="n"/>
      <c r="AF358" s="2911" t="n"/>
      <c r="AG358" s="2911">
        <f>SUM(AE338:AE358)-SUM(AF338:AF358)</f>
        <v/>
      </c>
      <c r="AH358" s="2898" t="n"/>
      <c r="AI358" s="2911" t="n"/>
      <c r="AJ358" s="2911" t="n"/>
      <c r="AK358" s="2911">
        <f>SUM(AI338:AI358)-SUM(AJ338:AJ358)</f>
        <v/>
      </c>
      <c r="AL358" s="2897" t="n"/>
      <c r="AM358" s="2911" t="n"/>
      <c r="AN358" s="2911" t="n"/>
      <c r="AO358" s="2911">
        <f>SUM(AM338:AM358)-SUM(AN338:AN358)</f>
        <v/>
      </c>
      <c r="AP358" s="2897" t="n"/>
      <c r="AQ358" s="2911" t="n"/>
      <c r="AR358" s="2911" t="n"/>
      <c r="AS358" s="2911">
        <f>SUM(AQ338:AQ358)-SUM(AR338:AR358)</f>
        <v/>
      </c>
      <c r="AT358" s="2897" t="n"/>
      <c r="AU358" s="2911" t="n"/>
      <c r="AV358" s="2911" t="n"/>
      <c r="AW358" s="2911">
        <f>SUM(AU338:AU358)-SUM(AV338:AV358)</f>
        <v/>
      </c>
      <c r="AX358" s="2897" t="n"/>
      <c r="AY358" s="2911" t="n"/>
      <c r="AZ358" s="2911" t="n"/>
      <c r="BA358" s="2900">
        <f>SUM(D358:AY358)</f>
        <v/>
      </c>
    </row>
    <row customFormat="1" r="359" s="2808" spans="1:55">
      <c r="A359" s="2912" t="s">
        <v>173</v>
      </c>
      <c r="B359" s="2912" t="n"/>
      <c r="C359" s="2913">
        <f>SUM(C338:C358)</f>
        <v/>
      </c>
      <c r="D359" s="2913">
        <f>SUM(D347:D356)</f>
        <v/>
      </c>
      <c r="E359" s="2913">
        <f>SUM(E358:E358)</f>
        <v/>
      </c>
      <c r="F359" s="2912" t="n"/>
      <c r="G359" s="2913">
        <f>SUM(G338:G358)</f>
        <v/>
      </c>
      <c r="H359" s="2913">
        <f>SUM(H347:H356)</f>
        <v/>
      </c>
      <c r="I359" s="2913">
        <f>SUM(I358:I358)</f>
        <v/>
      </c>
      <c r="J359" s="2912" t="n"/>
      <c r="K359" s="2913">
        <f>SUM(K338:K358)</f>
        <v/>
      </c>
      <c r="L359" s="2913">
        <f>SUM(L347:L356)</f>
        <v/>
      </c>
      <c r="M359" s="2913">
        <f>SUM(M358:M358)</f>
        <v/>
      </c>
      <c r="N359" s="2914" t="n"/>
      <c r="O359" s="2913">
        <f>SUM(O338:O358)</f>
        <v/>
      </c>
      <c r="P359" s="2913">
        <f>SUM(P347:P356)</f>
        <v/>
      </c>
      <c r="Q359" s="2913">
        <f>SUM(Q358:Q358)</f>
        <v/>
      </c>
      <c r="R359" s="2912" t="n"/>
      <c r="S359" s="2913">
        <f>SUM(S338:S358)</f>
        <v/>
      </c>
      <c r="T359" s="2913">
        <f>SUM(T347:T356)</f>
        <v/>
      </c>
      <c r="U359" s="2913">
        <f>SUM(U358:U358)</f>
        <v/>
      </c>
      <c r="V359" s="2914" t="n"/>
      <c r="W359" s="2913">
        <f>SUM(W338:W358)</f>
        <v/>
      </c>
      <c r="X359" s="2913">
        <f>SUM(X347:X356)</f>
        <v/>
      </c>
      <c r="Y359" s="2913">
        <f>SUM(Y358:Y358)</f>
        <v/>
      </c>
      <c r="Z359" s="2914" t="n"/>
      <c r="AA359" s="2913">
        <f>SUM(AA338:AA358)</f>
        <v/>
      </c>
      <c r="AB359" s="2913">
        <f>SUM(AB347:AB356)</f>
        <v/>
      </c>
      <c r="AC359" s="2913">
        <f>SUM(AC358:AC358)</f>
        <v/>
      </c>
      <c r="AD359" s="2914" t="n"/>
      <c r="AE359" s="2913">
        <f>SUM(AE338:AE358)</f>
        <v/>
      </c>
      <c r="AF359" s="2913">
        <f>SUM(AF347:AF356)</f>
        <v/>
      </c>
      <c r="AG359" s="2913">
        <f>SUM(AG358:AG358)</f>
        <v/>
      </c>
      <c r="AH359" s="2914" t="n"/>
      <c r="AI359" s="2913">
        <f>SUM(AI338:AI358)</f>
        <v/>
      </c>
      <c r="AJ359" s="2913">
        <f>SUM(AJ347:AJ356)</f>
        <v/>
      </c>
      <c r="AK359" s="2913">
        <f>SUM(AK358:AK358)</f>
        <v/>
      </c>
      <c r="AL359" s="2912" t="n"/>
      <c r="AM359" s="2913">
        <f>SUM(AM338:AM358)</f>
        <v/>
      </c>
      <c r="AN359" s="2913">
        <f>SUM(AN347:AN356)</f>
        <v/>
      </c>
      <c r="AO359" s="2913">
        <f>SUM(AO358:AO358)</f>
        <v/>
      </c>
      <c r="AP359" s="2912" t="n"/>
      <c r="AQ359" s="2913">
        <f>SUM(AQ338:AQ358)</f>
        <v/>
      </c>
      <c r="AR359" s="2913">
        <f>SUM(AR347:AR356)</f>
        <v/>
      </c>
      <c r="AS359" s="2913">
        <f>SUM(AS358:AS358)</f>
        <v/>
      </c>
      <c r="AT359" s="2912" t="n"/>
      <c r="AU359" s="2913">
        <f>SUM(AU338:AU358)</f>
        <v/>
      </c>
      <c r="AV359" s="2913">
        <f>SUM(AV347:AV356)</f>
        <v/>
      </c>
      <c r="AW359" s="2913">
        <f>SUM(AW358:AW358)</f>
        <v/>
      </c>
      <c r="AX359" s="2912" t="n"/>
      <c r="AY359" s="2912">
        <f>SUM(AY338:AY358)</f>
        <v/>
      </c>
      <c r="AZ359" s="2912">
        <f>SUM(AZ338:AZ358)</f>
        <v/>
      </c>
      <c r="BA359" s="2912">
        <f>SUM(BA358:BA358)</f>
        <v/>
      </c>
    </row>
    <row customFormat="1" r="360" s="2808" spans="1:55">
      <c r="A360" s="2912" t="s">
        <v>391</v>
      </c>
      <c r="B360" s="2912" t="n"/>
      <c r="C360" s="2913" t="n"/>
      <c r="D360" s="2913" t="n"/>
      <c r="E360" s="2915">
        <f>E359/C359</f>
        <v/>
      </c>
      <c r="F360" s="2912" t="n"/>
      <c r="G360" s="2913" t="n"/>
      <c r="H360" s="2913" t="n"/>
      <c r="I360" s="2915">
        <f>I359/G359</f>
        <v/>
      </c>
      <c r="J360" s="2912" t="n"/>
      <c r="K360" s="2913" t="n"/>
      <c r="L360" s="2913" t="n"/>
      <c r="M360" s="2915">
        <f>M359/K359</f>
        <v/>
      </c>
      <c r="N360" s="2913" t="n"/>
      <c r="O360" s="2913" t="n"/>
      <c r="P360" s="2913" t="n"/>
      <c r="Q360" s="2915">
        <f>Q359/O359</f>
        <v/>
      </c>
      <c r="R360" s="2912" t="n"/>
      <c r="S360" s="2913" t="n"/>
      <c r="T360" s="2913" t="n"/>
      <c r="U360" s="2915">
        <f>U359/S359</f>
        <v/>
      </c>
      <c r="V360" s="2913" t="n"/>
      <c r="W360" s="2913" t="n"/>
      <c r="X360" s="2913" t="n"/>
      <c r="Y360" s="2915">
        <f>Y359/W359</f>
        <v/>
      </c>
      <c r="Z360" s="2913" t="n"/>
      <c r="AA360" s="2913" t="n"/>
      <c r="AB360" s="2913" t="n"/>
      <c r="AC360" s="2915">
        <f>AC359/AA359</f>
        <v/>
      </c>
      <c r="AD360" s="2913" t="n"/>
      <c r="AE360" s="2913" t="n"/>
      <c r="AF360" s="2913" t="n"/>
      <c r="AG360" s="2915">
        <f>AG359/AE359</f>
        <v/>
      </c>
      <c r="AH360" s="2913" t="n"/>
      <c r="AI360" s="2913" t="n"/>
      <c r="AJ360" s="2913" t="n"/>
      <c r="AK360" s="2915">
        <f>AK359/AI359</f>
        <v/>
      </c>
      <c r="AL360" s="2912" t="n"/>
      <c r="AM360" s="2913" t="n"/>
      <c r="AN360" s="2913" t="n"/>
      <c r="AO360" s="2915">
        <f>AO359/AM359</f>
        <v/>
      </c>
      <c r="AP360" s="2912" t="n"/>
      <c r="AQ360" s="2913" t="n"/>
      <c r="AR360" s="2913" t="n"/>
      <c r="AS360" s="2915">
        <f>AS359/AQ359</f>
        <v/>
      </c>
      <c r="AT360" s="2912" t="n"/>
      <c r="AU360" s="2913" t="n"/>
      <c r="AV360" s="2913" t="n"/>
      <c r="AW360" s="2915">
        <f>AW359/AU359</f>
        <v/>
      </c>
      <c r="AX360" s="2912" t="n"/>
      <c r="AY360" s="2912" t="n"/>
      <c r="AZ360" s="2912" t="n"/>
      <c r="BA360" s="2915">
        <f>BA359/AY359</f>
        <v/>
      </c>
    </row>
    <row customFormat="1" r="361" s="2808" spans="1:55">
      <c r="A361" s="2806" t="n"/>
      <c r="B361" s="2806" t="n"/>
      <c r="E361" s="2836" t="n"/>
      <c r="F361" s="2806" t="n"/>
      <c r="I361" s="2836" t="n"/>
      <c r="J361" s="2806" t="n"/>
      <c r="M361" s="2836" t="n"/>
      <c r="Q361" s="2836" t="n"/>
      <c r="R361" s="2806" t="n"/>
      <c r="U361" s="2836" t="n"/>
      <c r="Y361" s="2836" t="n"/>
      <c r="AC361" s="2836" t="n"/>
      <c r="AG361" s="2836" t="n"/>
      <c r="AK361" s="2836" t="n"/>
      <c r="AL361" s="2806" t="n"/>
      <c r="AO361" s="2836" t="n"/>
      <c r="AP361" s="2806" t="n"/>
      <c r="AS361" s="2836" t="n"/>
      <c r="AT361" s="2806" t="n"/>
      <c r="AW361" s="2836" t="n"/>
      <c r="AX361" s="2806" t="n"/>
      <c r="AY361" s="2806" t="n"/>
      <c r="AZ361" s="2806" t="n"/>
      <c r="BA361" s="2836" t="n"/>
    </row>
    <row customFormat="1" r="362" s="2808" spans="1:55">
      <c r="A362" s="2806" t="n"/>
      <c r="B362" s="2806" t="n"/>
      <c r="E362" s="2836" t="n"/>
      <c r="F362" s="2806" t="n"/>
      <c r="I362" s="2836" t="n"/>
      <c r="J362" s="2806" t="n"/>
      <c r="M362" s="2836" t="n"/>
      <c r="Q362" s="2836" t="n"/>
      <c r="R362" s="2806" t="n"/>
      <c r="U362" s="2836" t="n"/>
      <c r="Y362" s="2836" t="n"/>
      <c r="AC362" s="2836" t="n"/>
      <c r="AG362" s="2836" t="n"/>
      <c r="AK362" s="2836" t="n"/>
      <c r="AL362" s="2806" t="n"/>
      <c r="AO362" s="2836" t="n"/>
      <c r="AP362" s="2806" t="n"/>
      <c r="AS362" s="2836" t="n"/>
      <c r="AT362" s="2806" t="n"/>
      <c r="AW362" s="2836" t="n"/>
      <c r="AX362" s="2806" t="n"/>
      <c r="AY362" s="2806" t="n"/>
      <c r="AZ362" s="2806" t="n"/>
      <c r="BA362" s="2836" t="n"/>
    </row>
    <row r="363" spans="1:55">
      <c r="A363" s="2916" t="n">
        <v>12276</v>
      </c>
      <c r="B363" s="2917" t="n"/>
      <c r="C363" s="2918" t="s">
        <v>62</v>
      </c>
      <c r="F363" s="2917" t="n"/>
      <c r="G363" s="2918" t="s">
        <v>63</v>
      </c>
      <c r="J363" s="2917" t="n"/>
      <c r="K363" s="2918" t="s">
        <v>64</v>
      </c>
      <c r="N363" s="2919" t="n"/>
      <c r="O363" s="2918" t="s">
        <v>174</v>
      </c>
      <c r="R363" s="2917" t="n"/>
      <c r="S363" s="2918" t="s">
        <v>66</v>
      </c>
      <c r="V363" s="2919" t="n"/>
      <c r="W363" s="2918" t="s">
        <v>67</v>
      </c>
      <c r="Z363" s="2919" t="n"/>
      <c r="AA363" s="2918" t="s">
        <v>69</v>
      </c>
      <c r="AD363" s="2919" t="n"/>
      <c r="AE363" s="2918" t="s">
        <v>70</v>
      </c>
      <c r="AH363" s="2919" t="n"/>
      <c r="AI363" s="2918" t="s">
        <v>71</v>
      </c>
      <c r="AL363" s="2917" t="n"/>
      <c r="AM363" s="2918" t="s">
        <v>72</v>
      </c>
      <c r="AP363" s="2917" t="n"/>
      <c r="AQ363" s="2918" t="s">
        <v>73</v>
      </c>
      <c r="AT363" s="2917" t="n"/>
      <c r="AU363" s="2918" t="s">
        <v>74</v>
      </c>
      <c r="AX363" s="2917" t="n"/>
      <c r="AY363" s="2918" t="s">
        <v>173</v>
      </c>
    </row>
    <row r="364" spans="1:55">
      <c r="A364" s="2920" t="n"/>
      <c r="B364" s="2921" t="n"/>
      <c r="C364" s="2920" t="s">
        <v>89</v>
      </c>
      <c r="D364" s="2920" t="s">
        <v>152</v>
      </c>
      <c r="E364" s="2920" t="s">
        <v>153</v>
      </c>
      <c r="F364" s="2921" t="n"/>
      <c r="G364" s="2920" t="s">
        <v>89</v>
      </c>
      <c r="H364" s="2920" t="s">
        <v>152</v>
      </c>
      <c r="I364" s="2920" t="s">
        <v>153</v>
      </c>
      <c r="J364" s="2921" t="n"/>
      <c r="K364" s="2920" t="s">
        <v>89</v>
      </c>
      <c r="L364" s="2920" t="s">
        <v>152</v>
      </c>
      <c r="M364" s="2920" t="s">
        <v>153</v>
      </c>
      <c r="N364" s="2919" t="n"/>
      <c r="O364" s="2920" t="s">
        <v>89</v>
      </c>
      <c r="P364" s="2920" t="s">
        <v>152</v>
      </c>
      <c r="Q364" s="2920" t="s">
        <v>153</v>
      </c>
      <c r="R364" s="2921" t="n"/>
      <c r="S364" s="2920" t="s">
        <v>89</v>
      </c>
      <c r="T364" s="2920" t="s">
        <v>152</v>
      </c>
      <c r="U364" s="2920" t="s">
        <v>153</v>
      </c>
      <c r="V364" s="2919" t="n"/>
      <c r="W364" s="2920" t="s">
        <v>89</v>
      </c>
      <c r="X364" s="2920" t="s">
        <v>152</v>
      </c>
      <c r="Y364" s="2920" t="s">
        <v>153</v>
      </c>
      <c r="Z364" s="2919" t="n"/>
      <c r="AA364" s="2920" t="s">
        <v>89</v>
      </c>
      <c r="AB364" s="2920" t="s">
        <v>152</v>
      </c>
      <c r="AC364" s="2920" t="s">
        <v>153</v>
      </c>
      <c r="AD364" s="2919" t="n"/>
      <c r="AE364" s="2920" t="s">
        <v>89</v>
      </c>
      <c r="AF364" s="2920" t="s">
        <v>152</v>
      </c>
      <c r="AG364" s="2920" t="s">
        <v>153</v>
      </c>
      <c r="AH364" s="2919" t="n"/>
      <c r="AI364" s="2920" t="s">
        <v>89</v>
      </c>
      <c r="AJ364" s="2920" t="s">
        <v>152</v>
      </c>
      <c r="AK364" s="2920" t="s">
        <v>153</v>
      </c>
      <c r="AL364" s="2921" t="n"/>
      <c r="AM364" s="2920" t="s">
        <v>89</v>
      </c>
      <c r="AN364" s="2920" t="s">
        <v>152</v>
      </c>
      <c r="AO364" s="2920" t="s">
        <v>153</v>
      </c>
      <c r="AP364" s="2921" t="n"/>
      <c r="AQ364" s="2920" t="s">
        <v>89</v>
      </c>
      <c r="AR364" s="2920" t="s">
        <v>152</v>
      </c>
      <c r="AS364" s="2920" t="s">
        <v>153</v>
      </c>
      <c r="AT364" s="2921" t="n"/>
      <c r="AU364" s="2920" t="s">
        <v>89</v>
      </c>
      <c r="AV364" s="2920" t="s">
        <v>152</v>
      </c>
      <c r="AW364" s="2920" t="s">
        <v>153</v>
      </c>
      <c r="AX364" s="2921" t="n"/>
      <c r="AY364" s="2920" t="s">
        <v>89</v>
      </c>
      <c r="AZ364" s="2920" t="s">
        <v>152</v>
      </c>
      <c r="BA364" s="2920" t="s">
        <v>153</v>
      </c>
    </row>
    <row r="365" spans="1:55">
      <c r="A365" s="2922" t="s">
        <v>187</v>
      </c>
      <c r="B365" s="2923" t="n"/>
      <c r="C365" s="2924" t="n"/>
      <c r="D365" s="2922">
        <f>D389+D413</f>
        <v/>
      </c>
      <c r="E365" s="2924" t="n"/>
      <c r="F365" s="2925" t="n"/>
      <c r="G365" s="2924" t="n"/>
      <c r="H365" s="2922">
        <f>H389+H413</f>
        <v/>
      </c>
      <c r="I365" s="2924" t="n"/>
      <c r="J365" s="2923" t="n"/>
      <c r="K365" s="2924" t="n"/>
      <c r="L365" s="2922">
        <f>L389+L413</f>
        <v/>
      </c>
      <c r="M365" s="2924" t="n"/>
      <c r="N365" s="2919" t="n"/>
      <c r="O365" s="2924" t="n"/>
      <c r="P365" s="2922">
        <f>P389+P413</f>
        <v/>
      </c>
      <c r="Q365" s="2924" t="n"/>
      <c r="R365" s="2923" t="n"/>
      <c r="S365" s="2924" t="n"/>
      <c r="T365" s="2922">
        <f>T389+T413</f>
        <v/>
      </c>
      <c r="U365" s="2924" t="n"/>
      <c r="V365" s="2919" t="n"/>
      <c r="W365" s="2924" t="n"/>
      <c r="X365" s="2922">
        <f>X389+X413</f>
        <v/>
      </c>
      <c r="Y365" s="2924" t="n"/>
      <c r="Z365" s="2919" t="n"/>
      <c r="AA365" s="2924" t="n"/>
      <c r="AB365" s="2922">
        <f>AB389+AB413</f>
        <v/>
      </c>
      <c r="AC365" s="2924" t="n"/>
      <c r="AD365" s="2919" t="n"/>
      <c r="AE365" s="2924" t="n"/>
      <c r="AF365" s="2922">
        <f>AF389+AF413</f>
        <v/>
      </c>
      <c r="AG365" s="2924" t="n"/>
      <c r="AH365" s="2919" t="n"/>
      <c r="AI365" s="2924" t="n"/>
      <c r="AJ365" s="2922">
        <f>AJ389+AJ413</f>
        <v/>
      </c>
      <c r="AK365" s="2924" t="n"/>
      <c r="AL365" s="2923" t="n"/>
      <c r="AM365" s="2924" t="n"/>
      <c r="AN365" s="2922">
        <f>AN389+AN413</f>
        <v/>
      </c>
      <c r="AO365" s="2924" t="n"/>
      <c r="AP365" s="2923" t="n"/>
      <c r="AQ365" s="2924" t="n"/>
      <c r="AR365" s="2922">
        <f>AR389+AR413</f>
        <v/>
      </c>
      <c r="AS365" s="2924" t="n"/>
      <c r="AT365" s="2923" t="n"/>
      <c r="AU365" s="2924" t="n"/>
      <c r="AV365" s="2922">
        <f>AV389+AV413</f>
        <v/>
      </c>
      <c r="AW365" s="2924" t="n"/>
      <c r="AX365" s="2923" t="n"/>
      <c r="AY365" s="2922" t="n"/>
      <c r="AZ365" s="2922">
        <f>SUM(C365:AW365)</f>
        <v/>
      </c>
      <c r="BA365" s="2922" t="n"/>
      <c r="BB365" s="2852" t="n"/>
    </row>
    <row r="366" spans="1:55">
      <c r="A366" s="2922" t="s">
        <v>189</v>
      </c>
      <c r="B366" s="2923" t="n"/>
      <c r="C366" s="2926" t="n"/>
      <c r="D366" s="2922">
        <f>D390+D414</f>
        <v/>
      </c>
      <c r="E366" s="2926" t="n"/>
      <c r="F366" s="2925" t="n"/>
      <c r="G366" s="2926" t="n"/>
      <c r="H366" s="2922">
        <f>H390+H414</f>
        <v/>
      </c>
      <c r="I366" s="2926" t="n"/>
      <c r="J366" s="2923" t="n"/>
      <c r="K366" s="2926" t="n"/>
      <c r="L366" s="2922">
        <f>L390+L414</f>
        <v/>
      </c>
      <c r="M366" s="2926" t="n"/>
      <c r="N366" s="2919" t="n"/>
      <c r="O366" s="2926" t="n"/>
      <c r="P366" s="2922">
        <f>P390+P414</f>
        <v/>
      </c>
      <c r="Q366" s="2926" t="n"/>
      <c r="R366" s="2923" t="n"/>
      <c r="S366" s="2926" t="n"/>
      <c r="T366" s="2922">
        <f>T390+T414</f>
        <v/>
      </c>
      <c r="U366" s="2926" t="n"/>
      <c r="V366" s="2919" t="n"/>
      <c r="W366" s="2926" t="n"/>
      <c r="X366" s="2922">
        <f>X390+X414</f>
        <v/>
      </c>
      <c r="Y366" s="2926" t="n"/>
      <c r="Z366" s="2919" t="n"/>
      <c r="AA366" s="2926" t="n"/>
      <c r="AB366" s="2922">
        <f>AB390+AB414</f>
        <v/>
      </c>
      <c r="AC366" s="2926" t="n"/>
      <c r="AD366" s="2919" t="n"/>
      <c r="AE366" s="2926" t="n"/>
      <c r="AF366" s="2922">
        <f>AF390+AF414</f>
        <v/>
      </c>
      <c r="AG366" s="2926" t="n"/>
      <c r="AH366" s="2919" t="n"/>
      <c r="AI366" s="2926" t="n"/>
      <c r="AJ366" s="2922">
        <f>AJ390+AJ414</f>
        <v/>
      </c>
      <c r="AK366" s="2926" t="n"/>
      <c r="AL366" s="2923" t="n"/>
      <c r="AM366" s="2926" t="n"/>
      <c r="AN366" s="2922">
        <f>AN390+AN414</f>
        <v/>
      </c>
      <c r="AO366" s="2926" t="n"/>
      <c r="AP366" s="2923" t="n"/>
      <c r="AQ366" s="2926" t="n"/>
      <c r="AR366" s="2922">
        <f>AR390+AR414</f>
        <v/>
      </c>
      <c r="AS366" s="2926" t="n"/>
      <c r="AT366" s="2923" t="n"/>
      <c r="AU366" s="2926" t="n"/>
      <c r="AV366" s="2922">
        <f>AV390+AV414</f>
        <v/>
      </c>
      <c r="AW366" s="2926" t="n"/>
      <c r="AX366" s="2923" t="n"/>
      <c r="AY366" s="2927" t="n"/>
      <c r="AZ366" s="2922">
        <f>SUM(C366:AW366)</f>
        <v/>
      </c>
      <c r="BA366" s="2927" t="n"/>
      <c r="BB366" s="2852" t="n"/>
    </row>
    <row r="367" spans="1:55">
      <c r="A367" s="2792" t="s">
        <v>252</v>
      </c>
      <c r="B367" s="2793" t="n"/>
      <c r="C367" s="2928" t="n"/>
      <c r="D367" s="2792">
        <f>D391+D415</f>
        <v/>
      </c>
      <c r="E367" s="2794" t="n"/>
      <c r="F367" s="2793" t="n"/>
      <c r="G367" s="2794" t="n"/>
      <c r="H367" s="2792">
        <f>H391+H415</f>
        <v/>
      </c>
      <c r="I367" s="2794" t="n"/>
      <c r="J367" s="2793" t="n"/>
      <c r="K367" s="2794" t="n"/>
      <c r="L367" s="2792">
        <f>L391+L415</f>
        <v/>
      </c>
      <c r="M367" s="2794" t="n"/>
      <c r="N367" s="2795" t="n"/>
      <c r="O367" s="2794" t="n"/>
      <c r="P367" s="2792">
        <f>P391+P415</f>
        <v/>
      </c>
      <c r="Q367" s="2794" t="n"/>
      <c r="R367" s="2793" t="n"/>
      <c r="S367" s="2794" t="n"/>
      <c r="T367" s="2792">
        <f>T391+T415</f>
        <v/>
      </c>
      <c r="U367" s="2794" t="n"/>
      <c r="V367" s="2795" t="n"/>
      <c r="W367" s="2794" t="n"/>
      <c r="X367" s="2792">
        <f>X391+X415</f>
        <v/>
      </c>
      <c r="Y367" s="2794" t="n"/>
      <c r="Z367" s="2795" t="n"/>
      <c r="AA367" s="2794" t="n"/>
      <c r="AB367" s="2792">
        <f>AB391+AB415</f>
        <v/>
      </c>
      <c r="AC367" s="2794" t="n"/>
      <c r="AD367" s="2795" t="n"/>
      <c r="AE367" s="2794" t="n"/>
      <c r="AF367" s="2792">
        <f>AF391+AF415</f>
        <v/>
      </c>
      <c r="AG367" s="2794" t="n"/>
      <c r="AH367" s="2795" t="n"/>
      <c r="AI367" s="2794" t="n"/>
      <c r="AJ367" s="2792">
        <f>AJ391+AJ415</f>
        <v/>
      </c>
      <c r="AK367" s="2794" t="n"/>
      <c r="AL367" s="2793" t="n"/>
      <c r="AM367" s="2794" t="n"/>
      <c r="AN367" s="2792">
        <f>AN391+AN415</f>
        <v/>
      </c>
      <c r="AO367" s="2794" t="n"/>
      <c r="AP367" s="2793" t="n"/>
      <c r="AQ367" s="2794" t="n"/>
      <c r="AR367" s="2792">
        <f>AR391+AR415</f>
        <v/>
      </c>
      <c r="AS367" s="2794" t="n"/>
      <c r="AT367" s="2793" t="n"/>
      <c r="AU367" s="2794" t="n"/>
      <c r="AV367" s="2792">
        <f>AV391+AV415</f>
        <v/>
      </c>
      <c r="AW367" s="2794" t="n"/>
      <c r="AX367" s="2793" t="n"/>
      <c r="AY367" s="2794" t="n"/>
      <c r="AZ367" s="2794">
        <f>SUM(C367:AW367)</f>
        <v/>
      </c>
      <c r="BA367" s="2794" t="n"/>
      <c r="BB367" s="2852" t="n"/>
    </row>
    <row r="368" spans="1:55">
      <c r="A368" s="2922" t="s">
        <v>191</v>
      </c>
      <c r="B368" s="2923" t="n"/>
      <c r="C368" s="2926" t="n"/>
      <c r="D368" s="2922">
        <f>D392+D416</f>
        <v/>
      </c>
      <c r="E368" s="2926" t="n"/>
      <c r="F368" s="2925" t="n"/>
      <c r="G368" s="2926" t="n"/>
      <c r="H368" s="2922">
        <f>H392+H416</f>
        <v/>
      </c>
      <c r="I368" s="2926" t="n"/>
      <c r="J368" s="2923" t="n"/>
      <c r="K368" s="2926" t="n"/>
      <c r="L368" s="2922">
        <f>L392+L416</f>
        <v/>
      </c>
      <c r="M368" s="2926" t="n"/>
      <c r="N368" s="2919" t="n"/>
      <c r="O368" s="2926" t="n"/>
      <c r="P368" s="2922">
        <f>P392+P416</f>
        <v/>
      </c>
      <c r="Q368" s="2926" t="n"/>
      <c r="R368" s="2923" t="n"/>
      <c r="S368" s="2926" t="n"/>
      <c r="T368" s="2922">
        <f>T392+T416</f>
        <v/>
      </c>
      <c r="U368" s="2926" t="n"/>
      <c r="V368" s="2919" t="n"/>
      <c r="W368" s="2926" t="n"/>
      <c r="X368" s="2922">
        <f>X392+X416</f>
        <v/>
      </c>
      <c r="Y368" s="2926" t="n"/>
      <c r="Z368" s="2919" t="n"/>
      <c r="AA368" s="2926" t="n"/>
      <c r="AB368" s="2922">
        <f>AB392+AB416</f>
        <v/>
      </c>
      <c r="AC368" s="2926" t="n"/>
      <c r="AD368" s="2919" t="n"/>
      <c r="AE368" s="2926" t="n"/>
      <c r="AF368" s="2922">
        <f>AF392+AF416</f>
        <v/>
      </c>
      <c r="AG368" s="2926" t="n"/>
      <c r="AH368" s="2919" t="n"/>
      <c r="AI368" s="2926" t="n"/>
      <c r="AJ368" s="2922">
        <f>AJ392+AJ416</f>
        <v/>
      </c>
      <c r="AK368" s="2926" t="n"/>
      <c r="AL368" s="2923" t="n"/>
      <c r="AM368" s="2926" t="n"/>
      <c r="AN368" s="2922">
        <f>AN392+AN416</f>
        <v/>
      </c>
      <c r="AO368" s="2926" t="n"/>
      <c r="AP368" s="2923" t="n"/>
      <c r="AQ368" s="2926" t="n"/>
      <c r="AR368" s="2922">
        <f>AR392+AR416</f>
        <v/>
      </c>
      <c r="AS368" s="2926" t="n"/>
      <c r="AT368" s="2923" t="n"/>
      <c r="AU368" s="2926" t="n"/>
      <c r="AV368" s="2922">
        <f>AV392+AV416</f>
        <v/>
      </c>
      <c r="AW368" s="2926" t="n"/>
      <c r="AX368" s="2923" t="n"/>
      <c r="AY368" s="2927" t="n"/>
      <c r="AZ368" s="2922">
        <f>SUM(C368:AW368)</f>
        <v/>
      </c>
      <c r="BA368" s="2927" t="n"/>
      <c r="BB368" s="2852" t="n"/>
    </row>
    <row r="369" spans="1:55">
      <c r="A369" s="2922" t="s">
        <v>192</v>
      </c>
      <c r="B369" s="2923" t="n"/>
      <c r="C369" s="2926" t="n"/>
      <c r="D369" s="2922">
        <f>D393+D417</f>
        <v/>
      </c>
      <c r="E369" s="2926" t="n"/>
      <c r="F369" s="2925" t="n"/>
      <c r="G369" s="2926" t="n"/>
      <c r="H369" s="2922">
        <f>H393+H417</f>
        <v/>
      </c>
      <c r="I369" s="2926" t="n"/>
      <c r="J369" s="2923" t="n"/>
      <c r="K369" s="2926" t="n"/>
      <c r="L369" s="2922">
        <f>L393+L417</f>
        <v/>
      </c>
      <c r="M369" s="2926" t="n"/>
      <c r="N369" s="2919" t="n"/>
      <c r="O369" s="2926" t="n"/>
      <c r="P369" s="2922">
        <f>P393+P417</f>
        <v/>
      </c>
      <c r="Q369" s="2926" t="n"/>
      <c r="R369" s="2923" t="n"/>
      <c r="S369" s="2926" t="n"/>
      <c r="T369" s="2922">
        <f>T393+T417</f>
        <v/>
      </c>
      <c r="U369" s="2926" t="n"/>
      <c r="V369" s="2919" t="n"/>
      <c r="W369" s="2926" t="n"/>
      <c r="X369" s="2922">
        <f>X393+X417</f>
        <v/>
      </c>
      <c r="Y369" s="2926" t="n"/>
      <c r="Z369" s="2919" t="n"/>
      <c r="AA369" s="2926" t="n"/>
      <c r="AB369" s="2922">
        <f>AB393+AB417</f>
        <v/>
      </c>
      <c r="AC369" s="2926" t="n"/>
      <c r="AD369" s="2919" t="n"/>
      <c r="AE369" s="2926" t="n"/>
      <c r="AF369" s="2922">
        <f>AF393+AF417</f>
        <v/>
      </c>
      <c r="AG369" s="2926" t="n"/>
      <c r="AH369" s="2919" t="n"/>
      <c r="AI369" s="2926" t="n"/>
      <c r="AJ369" s="2922">
        <f>AJ393+AJ417</f>
        <v/>
      </c>
      <c r="AK369" s="2926" t="n"/>
      <c r="AL369" s="2923" t="n"/>
      <c r="AM369" s="2926" t="n"/>
      <c r="AN369" s="2922">
        <f>AN393+AN417</f>
        <v/>
      </c>
      <c r="AO369" s="2926" t="n"/>
      <c r="AP369" s="2923" t="n"/>
      <c r="AQ369" s="2926" t="n"/>
      <c r="AR369" s="2922">
        <f>AR393+AR417</f>
        <v/>
      </c>
      <c r="AS369" s="2926" t="n"/>
      <c r="AT369" s="2923" t="n"/>
      <c r="AU369" s="2926" t="n"/>
      <c r="AV369" s="2922">
        <f>AV393+AV417</f>
        <v/>
      </c>
      <c r="AW369" s="2926" t="n"/>
      <c r="AX369" s="2923" t="n"/>
      <c r="AY369" s="2927" t="n"/>
      <c r="AZ369" s="2922">
        <f>SUM(C369:AW369)</f>
        <v/>
      </c>
      <c r="BA369" s="2927" t="n"/>
      <c r="BB369" s="2852" t="n"/>
    </row>
    <row r="370" spans="1:55">
      <c r="A370" s="2792" t="s">
        <v>194</v>
      </c>
      <c r="B370" s="2793" t="n"/>
      <c r="C370" s="2928" t="n"/>
      <c r="D370" s="2792">
        <f>D394+D418</f>
        <v/>
      </c>
      <c r="E370" s="2794" t="n"/>
      <c r="F370" s="2793" t="n"/>
      <c r="G370" s="2794" t="n"/>
      <c r="H370" s="2792">
        <f>H394+H418</f>
        <v/>
      </c>
      <c r="I370" s="2794" t="n"/>
      <c r="J370" s="2793" t="n"/>
      <c r="K370" s="2794" t="n"/>
      <c r="L370" s="2792">
        <f>L394+L418</f>
        <v/>
      </c>
      <c r="M370" s="2794" t="n"/>
      <c r="N370" s="2795" t="n"/>
      <c r="O370" s="2794" t="n"/>
      <c r="P370" s="2792">
        <f>P394+P418</f>
        <v/>
      </c>
      <c r="Q370" s="2794" t="n"/>
      <c r="R370" s="2793" t="n"/>
      <c r="S370" s="2794" t="n"/>
      <c r="T370" s="2792">
        <f>T394+T418</f>
        <v/>
      </c>
      <c r="U370" s="2794" t="n"/>
      <c r="V370" s="2795" t="n"/>
      <c r="W370" s="2794" t="n"/>
      <c r="X370" s="2792">
        <f>X394+X418</f>
        <v/>
      </c>
      <c r="Y370" s="2794" t="n"/>
      <c r="Z370" s="2795" t="n"/>
      <c r="AA370" s="2794" t="n"/>
      <c r="AB370" s="2792">
        <f>AB394+AB418</f>
        <v/>
      </c>
      <c r="AC370" s="2794" t="n"/>
      <c r="AD370" s="2795" t="n"/>
      <c r="AE370" s="2794" t="n"/>
      <c r="AF370" s="2792">
        <f>AF394+AF418</f>
        <v/>
      </c>
      <c r="AG370" s="2794" t="n"/>
      <c r="AH370" s="2795" t="n"/>
      <c r="AI370" s="2794" t="n"/>
      <c r="AJ370" s="2792">
        <f>AJ394+AJ418</f>
        <v/>
      </c>
      <c r="AK370" s="2794" t="n"/>
      <c r="AL370" s="2793" t="n"/>
      <c r="AM370" s="2794" t="n"/>
      <c r="AN370" s="2792">
        <f>AN394+AN418</f>
        <v/>
      </c>
      <c r="AO370" s="2794" t="n"/>
      <c r="AP370" s="2793" t="n"/>
      <c r="AQ370" s="2794" t="n"/>
      <c r="AR370" s="2792">
        <f>AR394+AR418</f>
        <v/>
      </c>
      <c r="AS370" s="2794" t="n"/>
      <c r="AT370" s="2793" t="n"/>
      <c r="AU370" s="2794" t="n"/>
      <c r="AV370" s="2792">
        <f>AV394+AV418</f>
        <v/>
      </c>
      <c r="AW370" s="2794" t="n"/>
      <c r="AX370" s="2793" t="n"/>
      <c r="AY370" s="2794" t="n"/>
      <c r="AZ370" s="2794">
        <f>SUM(C370:AW370)</f>
        <v/>
      </c>
      <c r="BA370" s="2794" t="n"/>
      <c r="BB370" s="2852" t="n"/>
    </row>
    <row r="371" spans="1:55">
      <c r="A371" s="2922" t="s">
        <v>195</v>
      </c>
      <c r="B371" s="2923" t="n"/>
      <c r="C371" s="2924" t="n"/>
      <c r="D371" s="2922">
        <f>D395+D419</f>
        <v/>
      </c>
      <c r="E371" s="2924" t="n"/>
      <c r="F371" s="2925" t="n"/>
      <c r="G371" s="2924" t="n"/>
      <c r="H371" s="2922">
        <f>H395+H419</f>
        <v/>
      </c>
      <c r="I371" s="2924" t="n"/>
      <c r="J371" s="2923" t="n"/>
      <c r="K371" s="2924" t="n"/>
      <c r="L371" s="2922">
        <f>L395+L419</f>
        <v/>
      </c>
      <c r="M371" s="2924" t="n"/>
      <c r="N371" s="2919" t="n"/>
      <c r="O371" s="2924" t="n"/>
      <c r="P371" s="2922">
        <f>P395+P419</f>
        <v/>
      </c>
      <c r="Q371" s="2924" t="n"/>
      <c r="R371" s="2923" t="n"/>
      <c r="S371" s="2924" t="n"/>
      <c r="T371" s="2922">
        <f>T395+T419</f>
        <v/>
      </c>
      <c r="U371" s="2924" t="n"/>
      <c r="V371" s="2919" t="n"/>
      <c r="W371" s="2924" t="n"/>
      <c r="X371" s="2922">
        <f>X395+X419</f>
        <v/>
      </c>
      <c r="Y371" s="2924" t="n"/>
      <c r="Z371" s="2919" t="n"/>
      <c r="AA371" s="2924" t="n"/>
      <c r="AB371" s="2922">
        <f>AB395+AB419</f>
        <v/>
      </c>
      <c r="AC371" s="2924" t="n"/>
      <c r="AD371" s="2919" t="n"/>
      <c r="AE371" s="2924" t="n"/>
      <c r="AF371" s="2922">
        <f>AF395+AF419</f>
        <v/>
      </c>
      <c r="AG371" s="2924" t="n"/>
      <c r="AH371" s="2919" t="n"/>
      <c r="AI371" s="2924" t="n"/>
      <c r="AJ371" s="2922">
        <f>AJ395+AJ419</f>
        <v/>
      </c>
      <c r="AK371" s="2924" t="n"/>
      <c r="AL371" s="2923" t="n"/>
      <c r="AM371" s="2924" t="n"/>
      <c r="AN371" s="2922">
        <f>AN395+AN419</f>
        <v/>
      </c>
      <c r="AO371" s="2924" t="n"/>
      <c r="AP371" s="2923" t="n"/>
      <c r="AQ371" s="2924" t="n"/>
      <c r="AR371" s="2922">
        <f>AR395+AR419</f>
        <v/>
      </c>
      <c r="AS371" s="2924" t="n"/>
      <c r="AT371" s="2923" t="n"/>
      <c r="AU371" s="2924" t="n"/>
      <c r="AV371" s="2922">
        <f>AV395+AV419</f>
        <v/>
      </c>
      <c r="AW371" s="2924" t="n"/>
      <c r="AX371" s="2923" t="n"/>
      <c r="AY371" s="2922" t="n"/>
      <c r="AZ371" s="2922">
        <f>SUM(C371:AW371)</f>
        <v/>
      </c>
      <c r="BA371" s="2922" t="n"/>
      <c r="BB371" s="2852" t="n"/>
    </row>
    <row r="372" spans="1:55">
      <c r="A372" s="2794" t="s">
        <v>366</v>
      </c>
      <c r="B372" s="2793" t="n"/>
      <c r="C372" s="2928" t="n"/>
      <c r="D372" s="2792">
        <f>D396+D420</f>
        <v/>
      </c>
      <c r="E372" s="2794" t="n"/>
      <c r="F372" s="2793" t="n"/>
      <c r="G372" s="2794" t="n"/>
      <c r="H372" s="2792">
        <f>H396+H420</f>
        <v/>
      </c>
      <c r="I372" s="2794" t="n"/>
      <c r="J372" s="2793" t="n"/>
      <c r="K372" s="2794" t="n"/>
      <c r="L372" s="2792">
        <f>L396+L420</f>
        <v/>
      </c>
      <c r="M372" s="2794" t="n"/>
      <c r="N372" s="2795" t="n"/>
      <c r="O372" s="2794" t="n"/>
      <c r="P372" s="2792">
        <f>P396+P420</f>
        <v/>
      </c>
      <c r="Q372" s="2794" t="n"/>
      <c r="R372" s="2793" t="n"/>
      <c r="S372" s="2794" t="n"/>
      <c r="T372" s="2792">
        <f>T396+T420</f>
        <v/>
      </c>
      <c r="U372" s="2794" t="n"/>
      <c r="V372" s="2795" t="n"/>
      <c r="W372" s="2794" t="n"/>
      <c r="X372" s="2792">
        <f>X396+X420</f>
        <v/>
      </c>
      <c r="Y372" s="2794" t="n"/>
      <c r="Z372" s="2795" t="n"/>
      <c r="AA372" s="2794" t="n"/>
      <c r="AB372" s="2792">
        <f>AB396+AB420</f>
        <v/>
      </c>
      <c r="AC372" s="2794" t="n"/>
      <c r="AD372" s="2795" t="n"/>
      <c r="AE372" s="2794" t="n"/>
      <c r="AF372" s="2792">
        <f>AF396+AF420</f>
        <v/>
      </c>
      <c r="AG372" s="2794" t="n"/>
      <c r="AH372" s="2795" t="n"/>
      <c r="AI372" s="2794" t="n"/>
      <c r="AJ372" s="2792">
        <f>AJ396+AJ420</f>
        <v/>
      </c>
      <c r="AK372" s="2794" t="n"/>
      <c r="AL372" s="2793" t="n"/>
      <c r="AM372" s="2794" t="n"/>
      <c r="AN372" s="2792">
        <f>AN396+AN420</f>
        <v/>
      </c>
      <c r="AO372" s="2794" t="n"/>
      <c r="AP372" s="2793" t="n"/>
      <c r="AQ372" s="2794" t="n"/>
      <c r="AR372" s="2792">
        <f>AR396+AR420</f>
        <v/>
      </c>
      <c r="AS372" s="2794" t="n"/>
      <c r="AT372" s="2793" t="n"/>
      <c r="AU372" s="2794" t="n"/>
      <c r="AV372" s="2792">
        <f>AV396+AV420</f>
        <v/>
      </c>
      <c r="AW372" s="2794" t="n"/>
      <c r="AX372" s="2793" t="n"/>
      <c r="AY372" s="2794" t="n"/>
      <c r="AZ372" s="2794">
        <f>SUM(C372:AW372)</f>
        <v/>
      </c>
      <c r="BA372" s="2794" t="n"/>
      <c r="BB372" s="2929" t="n"/>
    </row>
    <row r="373" spans="1:55">
      <c r="A373" s="2922" t="s">
        <v>161</v>
      </c>
      <c r="B373" s="2923" t="n"/>
      <c r="C373" s="2924" t="n"/>
      <c r="D373" s="2922">
        <f>D397+D421</f>
        <v/>
      </c>
      <c r="E373" s="2924" t="n"/>
      <c r="F373" s="2925" t="n"/>
      <c r="G373" s="2924" t="n"/>
      <c r="H373" s="2922">
        <f>H397+H421</f>
        <v/>
      </c>
      <c r="I373" s="2924" t="n"/>
      <c r="J373" s="2923" t="n"/>
      <c r="K373" s="2924" t="n"/>
      <c r="L373" s="2922">
        <f>L397+L421</f>
        <v/>
      </c>
      <c r="M373" s="2924" t="n"/>
      <c r="N373" s="2919" t="n"/>
      <c r="O373" s="2924" t="n"/>
      <c r="P373" s="2922">
        <f>P397+P421</f>
        <v/>
      </c>
      <c r="Q373" s="2924" t="n"/>
      <c r="R373" s="2923" t="n"/>
      <c r="S373" s="2924" t="n"/>
      <c r="T373" s="2922">
        <f>T397+T421</f>
        <v/>
      </c>
      <c r="U373" s="2924" t="n"/>
      <c r="V373" s="2919" t="n"/>
      <c r="W373" s="2924" t="n"/>
      <c r="X373" s="2922">
        <f>X397+X421</f>
        <v/>
      </c>
      <c r="Y373" s="2924" t="n"/>
      <c r="Z373" s="2919" t="n"/>
      <c r="AA373" s="2924" t="n"/>
      <c r="AB373" s="2922">
        <f>AB397+AB421</f>
        <v/>
      </c>
      <c r="AC373" s="2924" t="n"/>
      <c r="AD373" s="2919" t="n"/>
      <c r="AE373" s="2924" t="n"/>
      <c r="AF373" s="2922">
        <f>AF397+AF421</f>
        <v/>
      </c>
      <c r="AG373" s="2924" t="n"/>
      <c r="AH373" s="2919" t="n"/>
      <c r="AI373" s="2924" t="n"/>
      <c r="AJ373" s="2922">
        <f>AJ397+AJ421</f>
        <v/>
      </c>
      <c r="AK373" s="2924" t="n"/>
      <c r="AL373" s="2923" t="n"/>
      <c r="AM373" s="2924" t="n"/>
      <c r="AN373" s="2922">
        <f>AN397+AN421</f>
        <v/>
      </c>
      <c r="AO373" s="2924" t="n"/>
      <c r="AP373" s="2923" t="n"/>
      <c r="AQ373" s="2924" t="n"/>
      <c r="AR373" s="2922">
        <f>AR397+AR421</f>
        <v/>
      </c>
      <c r="AS373" s="2924" t="n"/>
      <c r="AT373" s="2923" t="n"/>
      <c r="AU373" s="2924" t="n"/>
      <c r="AV373" s="2922">
        <f>AV397+AV421</f>
        <v/>
      </c>
      <c r="AW373" s="2924" t="n"/>
      <c r="AX373" s="2923" t="n"/>
      <c r="AY373" s="2922" t="n"/>
      <c r="AZ373" s="2922">
        <f>SUM(C373:AW373)</f>
        <v/>
      </c>
      <c r="BA373" s="2922" t="n"/>
      <c r="BB373" s="2852" t="n"/>
    </row>
    <row r="374" spans="1:55">
      <c r="A374" s="2930" t="s">
        <v>367</v>
      </c>
      <c r="B374" s="2923" t="n"/>
      <c r="C374" s="2926" t="n"/>
      <c r="D374" s="2922">
        <f>D398+D422</f>
        <v/>
      </c>
      <c r="E374" s="2924" t="n"/>
      <c r="F374" s="2925" t="n"/>
      <c r="G374" s="2924" t="n"/>
      <c r="H374" s="2922">
        <f>H398+H422</f>
        <v/>
      </c>
      <c r="I374" s="2924" t="n"/>
      <c r="J374" s="2923" t="n"/>
      <c r="K374" s="2924" t="n"/>
      <c r="L374" s="2922">
        <f>L398+L422</f>
        <v/>
      </c>
      <c r="M374" s="2924" t="n"/>
      <c r="N374" s="2919" t="n"/>
      <c r="O374" s="2924" t="n"/>
      <c r="P374" s="2922">
        <f>P398+P422</f>
        <v/>
      </c>
      <c r="Q374" s="2924" t="n"/>
      <c r="R374" s="2923" t="n"/>
      <c r="S374" s="2924" t="n"/>
      <c r="T374" s="2922">
        <f>T398+T422</f>
        <v/>
      </c>
      <c r="U374" s="2924" t="n"/>
      <c r="V374" s="2919" t="n"/>
      <c r="W374" s="2924" t="n"/>
      <c r="X374" s="2922">
        <f>X398+X422</f>
        <v/>
      </c>
      <c r="Y374" s="2924" t="n"/>
      <c r="Z374" s="2919" t="n"/>
      <c r="AA374" s="2924" t="n"/>
      <c r="AB374" s="2922">
        <f>AB398+AB422</f>
        <v/>
      </c>
      <c r="AC374" s="2924" t="n"/>
      <c r="AD374" s="2919" t="n"/>
      <c r="AE374" s="2924" t="n"/>
      <c r="AF374" s="2922">
        <f>AF398+AF422</f>
        <v/>
      </c>
      <c r="AG374" s="2924" t="n"/>
      <c r="AH374" s="2919" t="n"/>
      <c r="AI374" s="2924" t="n"/>
      <c r="AJ374" s="2922">
        <f>AJ398+AJ422</f>
        <v/>
      </c>
      <c r="AK374" s="2924" t="n"/>
      <c r="AL374" s="2923" t="n"/>
      <c r="AM374" s="2924" t="n"/>
      <c r="AN374" s="2922">
        <f>AN398+AN422</f>
        <v/>
      </c>
      <c r="AO374" s="2924" t="n"/>
      <c r="AP374" s="2923" t="n"/>
      <c r="AQ374" s="2924" t="n"/>
      <c r="AR374" s="2922">
        <f>AR398+AR422</f>
        <v/>
      </c>
      <c r="AS374" s="2924" t="n"/>
      <c r="AT374" s="2923" t="n"/>
      <c r="AU374" s="2924" t="n"/>
      <c r="AV374" s="2922">
        <f>AV398+AV422</f>
        <v/>
      </c>
      <c r="AW374" s="2926" t="n"/>
      <c r="AX374" s="2923" t="n"/>
      <c r="AY374" s="2927" t="n"/>
      <c r="AZ374" s="2922">
        <f>SUM(C374:AW374)</f>
        <v/>
      </c>
      <c r="BA374" s="2927" t="n"/>
      <c r="BB374" s="2852" t="n"/>
    </row>
    <row r="375" spans="1:55">
      <c r="A375" s="2931" t="s">
        <v>232</v>
      </c>
      <c r="B375" s="2923" t="n"/>
      <c r="C375" s="2924" t="n"/>
      <c r="D375" s="2922">
        <f>D399+D423</f>
        <v/>
      </c>
      <c r="E375" s="2924" t="n"/>
      <c r="F375" s="2925" t="n"/>
      <c r="G375" s="2924" t="n"/>
      <c r="H375" s="2922">
        <f>H399+H423</f>
        <v/>
      </c>
      <c r="I375" s="2924" t="n"/>
      <c r="J375" s="2923" t="n"/>
      <c r="K375" s="2924" t="n"/>
      <c r="L375" s="2922">
        <f>L399+L423</f>
        <v/>
      </c>
      <c r="M375" s="2924" t="n"/>
      <c r="N375" s="2919" t="n"/>
      <c r="O375" s="2924" t="n"/>
      <c r="P375" s="2922">
        <f>P399+P423</f>
        <v/>
      </c>
      <c r="Q375" s="2924" t="n"/>
      <c r="R375" s="2923" t="n"/>
      <c r="S375" s="2924" t="n"/>
      <c r="T375" s="2922">
        <f>T399+T423</f>
        <v/>
      </c>
      <c r="U375" s="2924" t="n"/>
      <c r="V375" s="2919" t="n"/>
      <c r="W375" s="2924" t="n"/>
      <c r="X375" s="2922">
        <f>X399+X423</f>
        <v/>
      </c>
      <c r="Y375" s="2924" t="n"/>
      <c r="Z375" s="2919" t="n"/>
      <c r="AA375" s="2924" t="n"/>
      <c r="AB375" s="2922">
        <f>AB399+AB423</f>
        <v/>
      </c>
      <c r="AC375" s="2924" t="n"/>
      <c r="AD375" s="2919" t="n"/>
      <c r="AE375" s="2924" t="n"/>
      <c r="AF375" s="2922">
        <f>AF399+AF423</f>
        <v/>
      </c>
      <c r="AG375" s="2924" t="n"/>
      <c r="AH375" s="2919" t="n"/>
      <c r="AI375" s="2924" t="n"/>
      <c r="AJ375" s="2922">
        <f>AJ399+AJ423</f>
        <v/>
      </c>
      <c r="AK375" s="2924" t="n"/>
      <c r="AL375" s="2923" t="n"/>
      <c r="AM375" s="2924" t="n"/>
      <c r="AN375" s="2922">
        <f>AN399+AN423</f>
        <v/>
      </c>
      <c r="AO375" s="2924" t="n"/>
      <c r="AP375" s="2923" t="n"/>
      <c r="AQ375" s="2924" t="n"/>
      <c r="AR375" s="2922">
        <f>AR399+AR423</f>
        <v/>
      </c>
      <c r="AS375" s="2924" t="n"/>
      <c r="AT375" s="2923" t="n"/>
      <c r="AU375" s="2924" t="n"/>
      <c r="AV375" s="2922">
        <f>AV399+AV423</f>
        <v/>
      </c>
      <c r="AW375" s="2926" t="n"/>
      <c r="AX375" s="2923" t="n"/>
      <c r="AY375" s="2927" t="n"/>
      <c r="AZ375" s="2922">
        <f>SUM(C375:AW375)</f>
        <v/>
      </c>
      <c r="BA375" s="2927" t="n"/>
      <c r="BB375" s="2852" t="n"/>
    </row>
    <row customFormat="1" r="376" s="2216" spans="1:55">
      <c r="A376" s="2932" t="s">
        <v>233</v>
      </c>
      <c r="B376" s="2923" t="n"/>
      <c r="C376" s="2933" t="n"/>
      <c r="D376" s="2922">
        <f>D400+D424</f>
        <v/>
      </c>
      <c r="E376" s="2924" t="n"/>
      <c r="F376" s="2925" t="n"/>
      <c r="G376" s="2924" t="n"/>
      <c r="H376" s="2922">
        <f>H400+H424</f>
        <v/>
      </c>
      <c r="I376" s="2924" t="n"/>
      <c r="J376" s="2923" t="n"/>
      <c r="K376" s="2924" t="n"/>
      <c r="L376" s="2922">
        <f>L400+L424</f>
        <v/>
      </c>
      <c r="M376" s="2924" t="n"/>
      <c r="N376" s="2919" t="n"/>
      <c r="O376" s="2924" t="n"/>
      <c r="P376" s="2922">
        <f>P400+P424</f>
        <v/>
      </c>
      <c r="Q376" s="2924" t="n"/>
      <c r="R376" s="2923" t="n"/>
      <c r="S376" s="2924" t="n"/>
      <c r="T376" s="2922">
        <f>T400+T424</f>
        <v/>
      </c>
      <c r="U376" s="2924" t="n"/>
      <c r="V376" s="2919" t="n"/>
      <c r="W376" s="2924" t="n"/>
      <c r="X376" s="2922">
        <f>X400+X424</f>
        <v/>
      </c>
      <c r="Y376" s="2924" t="n"/>
      <c r="Z376" s="2919" t="n"/>
      <c r="AA376" s="2924" t="n"/>
      <c r="AB376" s="2922">
        <f>AB400+AB424</f>
        <v/>
      </c>
      <c r="AC376" s="2924" t="n"/>
      <c r="AD376" s="2919" t="n"/>
      <c r="AE376" s="2924" t="n"/>
      <c r="AF376" s="2922">
        <f>AF400+AF424</f>
        <v/>
      </c>
      <c r="AG376" s="2924" t="n"/>
      <c r="AH376" s="2919" t="n"/>
      <c r="AI376" s="2924" t="n"/>
      <c r="AJ376" s="2922">
        <f>AJ400+AJ424</f>
        <v/>
      </c>
      <c r="AK376" s="2924" t="n"/>
      <c r="AL376" s="2923" t="n"/>
      <c r="AM376" s="2924" t="n"/>
      <c r="AN376" s="2922">
        <f>AN400+AN424</f>
        <v/>
      </c>
      <c r="AO376" s="2924" t="n"/>
      <c r="AP376" s="2923" t="n"/>
      <c r="AQ376" s="2924" t="n"/>
      <c r="AR376" s="2922">
        <f>AR400+AR424</f>
        <v/>
      </c>
      <c r="AS376" s="2924" t="n"/>
      <c r="AT376" s="2923" t="n"/>
      <c r="AU376" s="2924" t="n"/>
      <c r="AV376" s="2922">
        <f>AV400+AV424</f>
        <v/>
      </c>
      <c r="AW376" s="2933" t="n"/>
      <c r="AX376" s="2923" t="n"/>
      <c r="AY376" s="2934" t="n"/>
      <c r="AZ376" s="2922">
        <f>SUM(C376:AW376)</f>
        <v/>
      </c>
      <c r="BA376" s="2934" t="n"/>
      <c r="BB376" s="2852" t="n"/>
    </row>
    <row customFormat="1" r="377" s="2216" spans="1:55">
      <c r="A377" s="2932" t="s">
        <v>368</v>
      </c>
      <c r="B377" s="2923" t="n"/>
      <c r="C377" s="2933" t="n"/>
      <c r="D377" s="2922">
        <f>D401+D425</f>
        <v/>
      </c>
      <c r="E377" s="2924" t="n"/>
      <c r="F377" s="2925" t="n"/>
      <c r="G377" s="2924" t="n"/>
      <c r="H377" s="2922">
        <f>H401+H425</f>
        <v/>
      </c>
      <c r="I377" s="2924" t="n"/>
      <c r="J377" s="2923" t="n"/>
      <c r="K377" s="2924" t="n"/>
      <c r="L377" s="2922">
        <f>L401+L425</f>
        <v/>
      </c>
      <c r="M377" s="2924" t="n"/>
      <c r="N377" s="2919" t="n"/>
      <c r="O377" s="2924" t="n"/>
      <c r="P377" s="2922">
        <f>P401+P425</f>
        <v/>
      </c>
      <c r="Q377" s="2924" t="n"/>
      <c r="R377" s="2923" t="n"/>
      <c r="S377" s="2924" t="n"/>
      <c r="T377" s="2922">
        <f>T401+T425</f>
        <v/>
      </c>
      <c r="U377" s="2924" t="n"/>
      <c r="V377" s="2919" t="n"/>
      <c r="W377" s="2924" t="n"/>
      <c r="X377" s="2922">
        <f>X401+X425</f>
        <v/>
      </c>
      <c r="Y377" s="2924" t="n"/>
      <c r="Z377" s="2919" t="n"/>
      <c r="AA377" s="2924" t="n"/>
      <c r="AB377" s="2922">
        <f>AB401+AB425</f>
        <v/>
      </c>
      <c r="AC377" s="2924" t="n"/>
      <c r="AD377" s="2919" t="n"/>
      <c r="AE377" s="2924" t="n"/>
      <c r="AF377" s="2922">
        <f>AF401+AF425</f>
        <v/>
      </c>
      <c r="AG377" s="2924" t="n"/>
      <c r="AH377" s="2919" t="n"/>
      <c r="AI377" s="2924" t="n"/>
      <c r="AJ377" s="2922">
        <f>AJ401+AJ425</f>
        <v/>
      </c>
      <c r="AK377" s="2924" t="n"/>
      <c r="AL377" s="2923" t="n"/>
      <c r="AM377" s="2924" t="n"/>
      <c r="AN377" s="2922">
        <f>AN401+AN425</f>
        <v/>
      </c>
      <c r="AO377" s="2924" t="n"/>
      <c r="AP377" s="2923" t="n"/>
      <c r="AQ377" s="2924" t="n"/>
      <c r="AR377" s="2922">
        <f>AR401+AR425</f>
        <v/>
      </c>
      <c r="AS377" s="2924" t="n"/>
      <c r="AT377" s="2923" t="n"/>
      <c r="AU377" s="2924" t="n"/>
      <c r="AV377" s="2922">
        <f>AV401+AV425</f>
        <v/>
      </c>
      <c r="AW377" s="2933" t="n"/>
      <c r="AX377" s="2923" t="n"/>
      <c r="AY377" s="2934" t="n"/>
      <c r="AZ377" s="2922">
        <f>SUM(C377:AW377)</f>
        <v/>
      </c>
      <c r="BA377" s="2934" t="n"/>
      <c r="BB377" s="2852" t="n"/>
    </row>
    <row r="378" spans="1:55">
      <c r="A378" s="2931" t="s">
        <v>369</v>
      </c>
      <c r="B378" s="2923" t="n"/>
      <c r="C378" s="2924" t="n"/>
      <c r="D378" s="2922">
        <f>D402+D426</f>
        <v/>
      </c>
      <c r="E378" s="2924" t="n"/>
      <c r="F378" s="2925" t="n"/>
      <c r="G378" s="2924" t="n"/>
      <c r="H378" s="2922">
        <f>H402+H426</f>
        <v/>
      </c>
      <c r="I378" s="2924" t="n"/>
      <c r="J378" s="2923" t="n"/>
      <c r="K378" s="2924" t="n"/>
      <c r="L378" s="2922">
        <f>L402+L426</f>
        <v/>
      </c>
      <c r="M378" s="2924" t="n"/>
      <c r="N378" s="2919" t="n"/>
      <c r="O378" s="2924" t="n"/>
      <c r="P378" s="2922">
        <f>P402+P426</f>
        <v/>
      </c>
      <c r="Q378" s="2924" t="n"/>
      <c r="R378" s="2923" t="n"/>
      <c r="S378" s="2924" t="n"/>
      <c r="T378" s="2922">
        <f>T402+T426</f>
        <v/>
      </c>
      <c r="U378" s="2924" t="n"/>
      <c r="V378" s="2919" t="n"/>
      <c r="W378" s="2924" t="n"/>
      <c r="X378" s="2922">
        <f>X402+X426</f>
        <v/>
      </c>
      <c r="Y378" s="2924" t="n"/>
      <c r="Z378" s="2919" t="n"/>
      <c r="AA378" s="2924" t="n"/>
      <c r="AB378" s="2922">
        <f>AB402+AB426</f>
        <v/>
      </c>
      <c r="AC378" s="2924" t="n"/>
      <c r="AD378" s="2919" t="n"/>
      <c r="AE378" s="2924" t="n"/>
      <c r="AF378" s="2922">
        <f>AF402+AF426</f>
        <v/>
      </c>
      <c r="AG378" s="2924" t="n"/>
      <c r="AH378" s="2919" t="n"/>
      <c r="AI378" s="2924" t="n"/>
      <c r="AJ378" s="2922">
        <f>AJ402+AJ426</f>
        <v/>
      </c>
      <c r="AK378" s="2924" t="n"/>
      <c r="AL378" s="2923" t="n"/>
      <c r="AM378" s="2924" t="n"/>
      <c r="AN378" s="2922">
        <f>AN402+AN426</f>
        <v/>
      </c>
      <c r="AO378" s="2924" t="n"/>
      <c r="AP378" s="2923" t="n"/>
      <c r="AQ378" s="2924" t="n"/>
      <c r="AR378" s="2922">
        <f>AR402+AR426</f>
        <v/>
      </c>
      <c r="AS378" s="2924" t="n"/>
      <c r="AT378" s="2923" t="n"/>
      <c r="AU378" s="2924" t="n"/>
      <c r="AV378" s="2922">
        <f>AV402+AV426</f>
        <v/>
      </c>
      <c r="AW378" s="2924" t="n"/>
      <c r="AX378" s="2923" t="n"/>
      <c r="AY378" s="2922" t="n"/>
      <c r="AZ378" s="2922">
        <f>SUM(C378:AW378)</f>
        <v/>
      </c>
      <c r="BA378" s="2922" t="n"/>
      <c r="BB378" s="2852" t="n"/>
    </row>
    <row r="379" spans="1:55">
      <c r="A379" s="2930" t="s">
        <v>370</v>
      </c>
      <c r="B379" s="2923" t="n"/>
      <c r="C379" s="2926" t="n"/>
      <c r="D379" s="2922">
        <f>D403+D427</f>
        <v/>
      </c>
      <c r="E379" s="2926" t="n"/>
      <c r="F379" s="2925" t="n"/>
      <c r="G379" s="2926" t="n"/>
      <c r="H379" s="2922">
        <f>H403+H427</f>
        <v/>
      </c>
      <c r="I379" s="2926" t="n"/>
      <c r="J379" s="2923" t="n"/>
      <c r="K379" s="2926" t="n"/>
      <c r="L379" s="2922">
        <f>L403+L427</f>
        <v/>
      </c>
      <c r="M379" s="2926" t="n"/>
      <c r="N379" s="2919" t="n"/>
      <c r="O379" s="2926" t="n"/>
      <c r="P379" s="2922">
        <f>P403+P427</f>
        <v/>
      </c>
      <c r="Q379" s="2926" t="n"/>
      <c r="R379" s="2923" t="n"/>
      <c r="S379" s="2926" t="n"/>
      <c r="T379" s="2922">
        <f>T403+T427</f>
        <v/>
      </c>
      <c r="U379" s="2926" t="n"/>
      <c r="V379" s="2919" t="n"/>
      <c r="W379" s="2926" t="n"/>
      <c r="X379" s="2922">
        <f>X403+X427</f>
        <v/>
      </c>
      <c r="Y379" s="2926" t="n"/>
      <c r="Z379" s="2919" t="n"/>
      <c r="AA379" s="2926" t="n"/>
      <c r="AB379" s="2922">
        <f>AB403+AB427</f>
        <v/>
      </c>
      <c r="AC379" s="2926" t="n"/>
      <c r="AD379" s="2919" t="n"/>
      <c r="AE379" s="2926" t="n"/>
      <c r="AF379" s="2922">
        <f>AF403+AF427</f>
        <v/>
      </c>
      <c r="AG379" s="2926" t="n"/>
      <c r="AH379" s="2919" t="n"/>
      <c r="AI379" s="2926" t="n"/>
      <c r="AJ379" s="2922">
        <f>AJ403+AJ427</f>
        <v/>
      </c>
      <c r="AK379" s="2926" t="n"/>
      <c r="AL379" s="2923" t="n"/>
      <c r="AM379" s="2926" t="n"/>
      <c r="AN379" s="2922">
        <f>AN403+AN427</f>
        <v/>
      </c>
      <c r="AO379" s="2926" t="n"/>
      <c r="AP379" s="2923" t="n"/>
      <c r="AQ379" s="2926" t="n"/>
      <c r="AR379" s="2922">
        <f>AR403+AR427</f>
        <v/>
      </c>
      <c r="AS379" s="2926" t="n"/>
      <c r="AT379" s="2923" t="n"/>
      <c r="AU379" s="2926" t="n"/>
      <c r="AV379" s="2922">
        <f>AV403+AV427</f>
        <v/>
      </c>
      <c r="AW379" s="2926" t="n"/>
      <c r="AX379" s="2923" t="n"/>
      <c r="AY379" s="2927" t="n"/>
      <c r="AZ379" s="2922">
        <f>SUM(C379:AW379)</f>
        <v/>
      </c>
      <c r="BA379" s="2927" t="n"/>
      <c r="BB379" s="2852" t="n"/>
    </row>
    <row customFormat="1" r="380" s="2216" spans="1:55">
      <c r="A380" s="2932" t="s">
        <v>371</v>
      </c>
      <c r="B380" s="2923" t="n"/>
      <c r="C380" s="2933" t="n"/>
      <c r="D380" s="2922">
        <f>D404+D428</f>
        <v/>
      </c>
      <c r="E380" s="2926" t="n"/>
      <c r="F380" s="2925" t="n"/>
      <c r="G380" s="2926" t="n"/>
      <c r="H380" s="2922">
        <f>H404+H428</f>
        <v/>
      </c>
      <c r="I380" s="2926" t="n"/>
      <c r="J380" s="2923" t="n"/>
      <c r="K380" s="2926" t="n"/>
      <c r="L380" s="2922">
        <f>L404+L428</f>
        <v/>
      </c>
      <c r="M380" s="2926" t="n"/>
      <c r="N380" s="2919" t="n"/>
      <c r="O380" s="2926" t="n"/>
      <c r="P380" s="2922">
        <f>P404+P428</f>
        <v/>
      </c>
      <c r="Q380" s="2926" t="n"/>
      <c r="R380" s="2923" t="n"/>
      <c r="S380" s="2926" t="n"/>
      <c r="T380" s="2922">
        <f>T404+T428</f>
        <v/>
      </c>
      <c r="U380" s="2926" t="n"/>
      <c r="V380" s="2919" t="n"/>
      <c r="W380" s="2926" t="n"/>
      <c r="X380" s="2922">
        <f>X404+X428</f>
        <v/>
      </c>
      <c r="Y380" s="2926" t="n"/>
      <c r="Z380" s="2919" t="n"/>
      <c r="AA380" s="2926" t="n"/>
      <c r="AB380" s="2922">
        <f>AB404+AB428</f>
        <v/>
      </c>
      <c r="AC380" s="2926" t="n"/>
      <c r="AD380" s="2919" t="n"/>
      <c r="AE380" s="2926" t="n"/>
      <c r="AF380" s="2922">
        <f>AF404+AF428</f>
        <v/>
      </c>
      <c r="AG380" s="2926" t="n"/>
      <c r="AH380" s="2919" t="n"/>
      <c r="AI380" s="2926" t="n"/>
      <c r="AJ380" s="2922">
        <f>AJ404+AJ428</f>
        <v/>
      </c>
      <c r="AK380" s="2926" t="n"/>
      <c r="AL380" s="2923" t="n"/>
      <c r="AM380" s="2926" t="n"/>
      <c r="AN380" s="2922">
        <f>AN404+AN428</f>
        <v/>
      </c>
      <c r="AO380" s="2926" t="n"/>
      <c r="AP380" s="2923" t="n"/>
      <c r="AQ380" s="2926" t="n"/>
      <c r="AR380" s="2922">
        <f>AR404+AR428</f>
        <v/>
      </c>
      <c r="AS380" s="2926" t="n"/>
      <c r="AT380" s="2923" t="n"/>
      <c r="AU380" s="2926" t="n"/>
      <c r="AV380" s="2922">
        <f>AV404+AV428</f>
        <v/>
      </c>
      <c r="AW380" s="2926" t="n"/>
      <c r="AX380" s="2923" t="n"/>
      <c r="AY380" s="2927" t="n"/>
      <c r="AZ380" s="2922">
        <f>SUM(C380:AW380)</f>
        <v/>
      </c>
      <c r="BA380" s="2934" t="n"/>
      <c r="BB380" s="2852" t="n"/>
    </row>
    <row r="381" spans="1:55">
      <c r="A381" s="2930" t="s">
        <v>372</v>
      </c>
      <c r="B381" s="2923" t="n"/>
      <c r="C381" s="2926" t="n"/>
      <c r="D381" s="2922">
        <f>D405+D429</f>
        <v/>
      </c>
      <c r="E381" s="2926" t="n"/>
      <c r="F381" s="2925" t="n"/>
      <c r="G381" s="2926" t="n"/>
      <c r="H381" s="2922">
        <f>H405+H429</f>
        <v/>
      </c>
      <c r="I381" s="2926" t="n"/>
      <c r="J381" s="2923" t="n"/>
      <c r="K381" s="2926" t="n"/>
      <c r="L381" s="2922">
        <f>L405+L429</f>
        <v/>
      </c>
      <c r="M381" s="2926" t="n"/>
      <c r="N381" s="2919" t="n"/>
      <c r="O381" s="2926" t="n"/>
      <c r="P381" s="2922">
        <f>P405+P429</f>
        <v/>
      </c>
      <c r="Q381" s="2926" t="n"/>
      <c r="R381" s="2923" t="n"/>
      <c r="S381" s="2926" t="n"/>
      <c r="T381" s="2922">
        <f>T405+T429</f>
        <v/>
      </c>
      <c r="U381" s="2926" t="n"/>
      <c r="V381" s="2919" t="n"/>
      <c r="W381" s="2926" t="n"/>
      <c r="X381" s="2922">
        <f>X405+X429</f>
        <v/>
      </c>
      <c r="Y381" s="2926" t="n"/>
      <c r="Z381" s="2919" t="n"/>
      <c r="AA381" s="2926" t="n"/>
      <c r="AB381" s="2922">
        <f>AB405+AB429</f>
        <v/>
      </c>
      <c r="AC381" s="2926" t="n"/>
      <c r="AD381" s="2919" t="n"/>
      <c r="AE381" s="2926" t="n"/>
      <c r="AF381" s="2922">
        <f>AF405+AF429</f>
        <v/>
      </c>
      <c r="AG381" s="2926" t="n"/>
      <c r="AH381" s="2919" t="n"/>
      <c r="AI381" s="2926" t="n"/>
      <c r="AJ381" s="2922">
        <f>AJ405+AJ429</f>
        <v/>
      </c>
      <c r="AK381" s="2926" t="n"/>
      <c r="AL381" s="2923" t="n"/>
      <c r="AM381" s="2926" t="n"/>
      <c r="AN381" s="2922">
        <f>AN405+AN429</f>
        <v/>
      </c>
      <c r="AO381" s="2926" t="n"/>
      <c r="AP381" s="2923" t="n"/>
      <c r="AQ381" s="2926" t="n"/>
      <c r="AR381" s="2922">
        <f>AR405+AR429</f>
        <v/>
      </c>
      <c r="AS381" s="2926" t="n"/>
      <c r="AT381" s="2923" t="n"/>
      <c r="AU381" s="2926" t="n"/>
      <c r="AV381" s="2922">
        <f>AV405+AV429</f>
        <v/>
      </c>
      <c r="AW381" s="2926" t="n"/>
      <c r="AX381" s="2923" t="n"/>
      <c r="AY381" s="2927" t="n"/>
      <c r="AZ381" s="2922">
        <f>SUM(C381:AW381)</f>
        <v/>
      </c>
      <c r="BA381" s="2927" t="n"/>
      <c r="BB381" s="2852" t="n"/>
    </row>
    <row r="382" spans="1:55">
      <c r="A382" s="2931" t="s">
        <v>89</v>
      </c>
      <c r="B382" s="2923" t="n"/>
      <c r="C382" s="2922">
        <f>SUM('FY18 SET'!G47+'FY18 SET'!G51+'FY18 SET'!G55)/1000</f>
        <v/>
      </c>
      <c r="D382" s="2924" t="n"/>
      <c r="E382" s="2924" t="n"/>
      <c r="F382" s="2925" t="n"/>
      <c r="G382" s="2922">
        <f>SUM('FY18 SET'!H47+'FY18 SET'!H51+'FY18 SET'!H55)/1000</f>
        <v/>
      </c>
      <c r="H382" s="2924" t="n"/>
      <c r="I382" s="2924" t="n"/>
      <c r="J382" s="2923" t="n"/>
      <c r="K382" s="2922">
        <f>SUM('FY18 SET'!I47+'FY18 SET'!I51+'FY18 SET'!I55)/1000</f>
        <v/>
      </c>
      <c r="L382" s="2924" t="n"/>
      <c r="M382" s="2924" t="n"/>
      <c r="N382" s="2919" t="n"/>
      <c r="O382" s="2922">
        <f>SUM('FY18 SET'!J47+'FY18 SET'!J51+'FY18 SET'!J55)/1000</f>
        <v/>
      </c>
      <c r="P382" s="2924" t="n"/>
      <c r="Q382" s="2924" t="n"/>
      <c r="R382" s="2923" t="n"/>
      <c r="S382" s="2922">
        <f>SUM('FY18 SET'!K47+'FY18 SET'!K51+'FY18 SET'!K55)/1000</f>
        <v/>
      </c>
      <c r="T382" s="2924" t="n"/>
      <c r="U382" s="2924" t="n"/>
      <c r="V382" s="2919" t="n"/>
      <c r="W382" s="2922">
        <f>SUM('FY18 SET'!L47+'FY18 SET'!L51+'FY18 SET'!L55)/1000</f>
        <v/>
      </c>
      <c r="X382" s="2924" t="n"/>
      <c r="Y382" s="2924" t="n"/>
      <c r="Z382" s="2919" t="n"/>
      <c r="AA382" s="2922">
        <f>SUM('FY18 SET'!N47+'FY18 SET'!N51+'FY18 SET'!N55)/1000</f>
        <v/>
      </c>
      <c r="AB382" s="2924" t="n"/>
      <c r="AC382" s="2924" t="n"/>
      <c r="AD382" s="2919" t="n"/>
      <c r="AE382" s="2922">
        <f>SUM('FY18 SET'!O47+'FY18 SET'!O51+'FY18 SET'!O55)/1000</f>
        <v/>
      </c>
      <c r="AF382" s="2924" t="n"/>
      <c r="AG382" s="2924" t="n"/>
      <c r="AH382" s="2919" t="n"/>
      <c r="AI382" s="2922">
        <f>SUM('FY18 SET'!P47+'FY18 SET'!P51+'FY18 SET'!P55)/1000</f>
        <v/>
      </c>
      <c r="AJ382" s="2924" t="n"/>
      <c r="AK382" s="2924" t="n"/>
      <c r="AL382" s="2923" t="n"/>
      <c r="AM382" s="2922">
        <f>SUM('FY18 SET'!Q47+'FY18 SET'!Q51+'FY18 SET'!Q55)/1000</f>
        <v/>
      </c>
      <c r="AN382" s="2924" t="n"/>
      <c r="AO382" s="2924" t="n"/>
      <c r="AP382" s="2923" t="n"/>
      <c r="AQ382" s="2922">
        <f>SUM('FY18 SET'!R47+'FY18 SET'!R51+'FY18 SET'!R55)/1000</f>
        <v/>
      </c>
      <c r="AR382" s="2924" t="n"/>
      <c r="AS382" s="2924" t="n"/>
      <c r="AT382" s="2923" t="n"/>
      <c r="AU382" s="2922">
        <f>SUM('FY18 SET'!S47+'FY18 SET'!S51+'FY18 SET'!S55)/1000</f>
        <v/>
      </c>
      <c r="AV382" s="2924" t="n"/>
      <c r="AW382" s="2924" t="n"/>
      <c r="AX382" s="2923" t="n"/>
      <c r="AY382" s="2922">
        <f>SUM(B382:AV382)</f>
        <v/>
      </c>
      <c r="AZ382" s="2922" t="n"/>
      <c r="BA382" s="2922" t="n"/>
      <c r="BB382" s="2929" t="n"/>
    </row>
    <row r="383" spans="1:55">
      <c r="A383" s="2931" t="s">
        <v>153</v>
      </c>
      <c r="B383" s="2923" t="n"/>
      <c r="C383" s="2922" t="n"/>
      <c r="D383" s="2922" t="n"/>
      <c r="E383" s="2922">
        <f>SUM(C365:C383)-SUM(D365:D383)</f>
        <v/>
      </c>
      <c r="F383" s="2925" t="n"/>
      <c r="G383" s="2922" t="n"/>
      <c r="H383" s="2922" t="n"/>
      <c r="I383" s="2922">
        <f>SUM(G365:G383)-SUM(H365:H383)</f>
        <v/>
      </c>
      <c r="J383" s="2923" t="n"/>
      <c r="K383" s="2922" t="n"/>
      <c r="L383" s="2922" t="n"/>
      <c r="M383" s="2922">
        <f>SUM(K365:K383)-SUM(L365:L383)</f>
        <v/>
      </c>
      <c r="N383" s="2919" t="n"/>
      <c r="O383" s="2922" t="n"/>
      <c r="P383" s="2922" t="n"/>
      <c r="Q383" s="2922">
        <f>SUM(O365:O383)-SUM(P365:P383)</f>
        <v/>
      </c>
      <c r="R383" s="2923" t="n"/>
      <c r="S383" s="2922" t="n"/>
      <c r="T383" s="2922" t="n"/>
      <c r="U383" s="2922">
        <f>SUM(S365:S383)-SUM(T365:T383)</f>
        <v/>
      </c>
      <c r="V383" s="2919" t="n"/>
      <c r="W383" s="2922" t="n"/>
      <c r="X383" s="2922" t="n"/>
      <c r="Y383" s="2922">
        <f>SUM(W365:W383)-SUM(X365:X383)</f>
        <v/>
      </c>
      <c r="Z383" s="2919" t="n"/>
      <c r="AA383" s="2922" t="n"/>
      <c r="AB383" s="2922" t="n"/>
      <c r="AC383" s="2922">
        <f>SUM(AA365:AA383)-SUM(AB365:AB383)</f>
        <v/>
      </c>
      <c r="AD383" s="2919" t="n"/>
      <c r="AE383" s="2922" t="n"/>
      <c r="AF383" s="2922" t="n"/>
      <c r="AG383" s="2922">
        <f>SUM(AE365:AE383)-SUM(AF365:AF383)</f>
        <v/>
      </c>
      <c r="AH383" s="2919" t="n"/>
      <c r="AI383" s="2922" t="n"/>
      <c r="AJ383" s="2922" t="n"/>
      <c r="AK383" s="2922">
        <f>SUM(AI365:AI383)-SUM(AJ365:AJ383)</f>
        <v/>
      </c>
      <c r="AL383" s="2923" t="n"/>
      <c r="AM383" s="2922" t="n"/>
      <c r="AN383" s="2922" t="n"/>
      <c r="AO383" s="2922">
        <f>SUM(AM365:AM383)-SUM(AN365:AN383)</f>
        <v/>
      </c>
      <c r="AP383" s="2923" t="n"/>
      <c r="AQ383" s="2922" t="n"/>
      <c r="AR383" s="2922" t="n"/>
      <c r="AS383" s="2922">
        <f>SUM(AQ365:AQ383)-SUM(AR365:AR383)</f>
        <v/>
      </c>
      <c r="AT383" s="2923" t="n"/>
      <c r="AU383" s="2922" t="n"/>
      <c r="AV383" s="2922" t="n"/>
      <c r="AW383" s="2922">
        <f>SUM(AU365:AU383)-SUM(AV365:AV383)</f>
        <v/>
      </c>
      <c r="AX383" s="2923" t="n"/>
      <c r="AY383" s="2922" t="n"/>
      <c r="AZ383" s="2922" t="n"/>
      <c r="BA383" s="2922">
        <f>SUM(D383:AY383)</f>
        <v/>
      </c>
      <c r="BB383" s="2852" t="n"/>
    </row>
    <row r="384" spans="1:55">
      <c r="A384" s="2935" t="s">
        <v>173</v>
      </c>
      <c r="B384" s="2936" t="n"/>
      <c r="C384" s="2937">
        <f>SUM(C365:C383)</f>
        <v/>
      </c>
      <c r="D384" s="2937">
        <f>SUM(D365:D383)</f>
        <v/>
      </c>
      <c r="E384" s="2937">
        <f>SUM(E383:E383)</f>
        <v/>
      </c>
      <c r="F384" s="2938" t="n"/>
      <c r="G384" s="2937">
        <f>SUM(G365:G383)</f>
        <v/>
      </c>
      <c r="H384" s="2937">
        <f>SUM(H365:H383)</f>
        <v/>
      </c>
      <c r="I384" s="2937">
        <f>SUM(I383:I383)</f>
        <v/>
      </c>
      <c r="J384" s="2936" t="n"/>
      <c r="K384" s="2937">
        <f>SUM(K365:K383)</f>
        <v/>
      </c>
      <c r="L384" s="2937">
        <f>SUM(L365:L383)</f>
        <v/>
      </c>
      <c r="M384" s="2937">
        <f>SUM(M383:M383)</f>
        <v/>
      </c>
      <c r="N384" s="2939" t="n"/>
      <c r="O384" s="2937">
        <f>SUM(O365:O383)</f>
        <v/>
      </c>
      <c r="P384" s="2937">
        <f>SUM(P365:P383)</f>
        <v/>
      </c>
      <c r="Q384" s="2937">
        <f>SUM(Q383:Q383)</f>
        <v/>
      </c>
      <c r="R384" s="2936" t="n"/>
      <c r="S384" s="2937">
        <f>SUM(S365:S383)</f>
        <v/>
      </c>
      <c r="T384" s="2937">
        <f>SUM(T365:T383)</f>
        <v/>
      </c>
      <c r="U384" s="2937">
        <f>SUM(U383:U383)</f>
        <v/>
      </c>
      <c r="V384" s="2939" t="n"/>
      <c r="W384" s="2937">
        <f>SUM(W365:W383)</f>
        <v/>
      </c>
      <c r="X384" s="2937">
        <f>SUM(X365:X383)</f>
        <v/>
      </c>
      <c r="Y384" s="2937">
        <f>SUM(Y383:Y383)</f>
        <v/>
      </c>
      <c r="Z384" s="2939" t="n"/>
      <c r="AA384" s="2937">
        <f>SUM(AA365:AA383)</f>
        <v/>
      </c>
      <c r="AB384" s="2937">
        <f>SUM(AB365:AB383)</f>
        <v/>
      </c>
      <c r="AC384" s="2937">
        <f>SUM(AC383:AC383)</f>
        <v/>
      </c>
      <c r="AD384" s="2939" t="n"/>
      <c r="AE384" s="2937">
        <f>SUM(AE365:AE383)</f>
        <v/>
      </c>
      <c r="AF384" s="2937">
        <f>SUM(AF365:AF383)</f>
        <v/>
      </c>
      <c r="AG384" s="2937">
        <f>SUM(AG383:AG383)</f>
        <v/>
      </c>
      <c r="AH384" s="2939" t="n"/>
      <c r="AI384" s="2937">
        <f>SUM(AI365:AI383)</f>
        <v/>
      </c>
      <c r="AJ384" s="2937">
        <f>SUM(AJ365:AJ383)</f>
        <v/>
      </c>
      <c r="AK384" s="2937">
        <f>SUM(AK383:AK383)</f>
        <v/>
      </c>
      <c r="AL384" s="2936" t="n"/>
      <c r="AM384" s="2937">
        <f>SUM(AM365:AM383)</f>
        <v/>
      </c>
      <c r="AN384" s="2937">
        <f>SUM(AN365:AN383)</f>
        <v/>
      </c>
      <c r="AO384" s="2937">
        <f>SUM(AO383:AO383)</f>
        <v/>
      </c>
      <c r="AP384" s="2936" t="n"/>
      <c r="AQ384" s="2937">
        <f>SUM(AQ365:AQ383)</f>
        <v/>
      </c>
      <c r="AR384" s="2937">
        <f>SUM(AR365:AR383)</f>
        <v/>
      </c>
      <c r="AS384" s="2937">
        <f>SUM(AS383:AS383)</f>
        <v/>
      </c>
      <c r="AT384" s="2936" t="n"/>
      <c r="AU384" s="2937">
        <f>SUM(AU365:AU383)</f>
        <v/>
      </c>
      <c r="AV384" s="2937">
        <f>SUM(AV365:AV383)</f>
        <v/>
      </c>
      <c r="AW384" s="2937">
        <f>SUM(AW383:AW383)</f>
        <v/>
      </c>
      <c r="AX384" s="2936" t="n"/>
      <c r="AY384" s="2935">
        <f>SUM(AY365:AY383)</f>
        <v/>
      </c>
      <c r="AZ384" s="2922">
        <f>SUM(AZ365:AZ383)</f>
        <v/>
      </c>
      <c r="BA384" s="2935">
        <f>SUM(BA383:BA383)</f>
        <v/>
      </c>
      <c r="BB384" s="2929" t="n"/>
    </row>
    <row r="385" spans="1:55">
      <c r="A385" s="2935" t="s">
        <v>392</v>
      </c>
      <c r="B385" s="2936" t="n"/>
      <c r="C385" s="2940" t="n"/>
      <c r="D385" s="2937" t="n"/>
      <c r="E385" s="2941">
        <f>E384/C384</f>
        <v/>
      </c>
      <c r="F385" s="2938" t="n"/>
      <c r="G385" s="2940" t="n"/>
      <c r="H385" s="2937" t="n"/>
      <c r="I385" s="2941">
        <f>I384/G384</f>
        <v/>
      </c>
      <c r="J385" s="2936" t="n"/>
      <c r="K385" s="2940" t="n"/>
      <c r="L385" s="2937" t="n"/>
      <c r="M385" s="2941">
        <f>M384/K384</f>
        <v/>
      </c>
      <c r="N385" s="2942" t="n"/>
      <c r="O385" s="2940" t="n"/>
      <c r="P385" s="2937" t="n"/>
      <c r="Q385" s="2941">
        <f>Q384/O384</f>
        <v/>
      </c>
      <c r="R385" s="2936" t="n"/>
      <c r="S385" s="2940" t="n"/>
      <c r="T385" s="2937" t="n"/>
      <c r="U385" s="2941">
        <f>U384/S384</f>
        <v/>
      </c>
      <c r="V385" s="2942" t="n"/>
      <c r="W385" s="2940" t="n"/>
      <c r="X385" s="2937" t="n"/>
      <c r="Y385" s="2941">
        <f>Y384/W384</f>
        <v/>
      </c>
      <c r="Z385" s="2942" t="n"/>
      <c r="AA385" s="2940" t="n"/>
      <c r="AB385" s="2937" t="n"/>
      <c r="AC385" s="2941">
        <f>AC384/AA384</f>
        <v/>
      </c>
      <c r="AD385" s="2942" t="n"/>
      <c r="AE385" s="2940" t="n"/>
      <c r="AF385" s="2937" t="n"/>
      <c r="AG385" s="2941">
        <f>AG384/AE384</f>
        <v/>
      </c>
      <c r="AH385" s="2942" t="n"/>
      <c r="AI385" s="2940" t="n"/>
      <c r="AJ385" s="2937" t="n"/>
      <c r="AK385" s="2941">
        <f>AK384/AI384</f>
        <v/>
      </c>
      <c r="AL385" s="2936" t="n"/>
      <c r="AM385" s="2940" t="n"/>
      <c r="AN385" s="2937" t="n"/>
      <c r="AO385" s="2941">
        <f>AO384/AM384</f>
        <v/>
      </c>
      <c r="AP385" s="2936" t="n"/>
      <c r="AQ385" s="2940" t="n"/>
      <c r="AR385" s="2937" t="n"/>
      <c r="AS385" s="2941">
        <f>AS384/AQ384</f>
        <v/>
      </c>
      <c r="AT385" s="2936" t="n"/>
      <c r="AU385" s="2940" t="n"/>
      <c r="AV385" s="2937" t="n"/>
      <c r="AW385" s="2941">
        <f>AW384/AU384</f>
        <v/>
      </c>
      <c r="AX385" s="2936" t="n"/>
      <c r="AY385" s="2935" t="n"/>
      <c r="AZ385" s="2922" t="n"/>
      <c r="BA385" s="2941">
        <f>BA384/AY384</f>
        <v/>
      </c>
    </row>
    <row collapsed="1" r="386" s="1843" spans="1:55"/>
    <row hidden="1" outlineLevel="1" r="387" s="1843" spans="1:55">
      <c r="A387" s="2854" t="s">
        <v>118</v>
      </c>
      <c r="B387" s="2781" t="n"/>
      <c r="C387" s="2943" t="s">
        <v>62</v>
      </c>
      <c r="F387" s="2781" t="n"/>
      <c r="G387" s="2943" t="s">
        <v>63</v>
      </c>
      <c r="J387" s="2781" t="n"/>
      <c r="K387" s="2943" t="s">
        <v>64</v>
      </c>
      <c r="N387" s="2799" t="n"/>
      <c r="O387" s="2943" t="s">
        <v>174</v>
      </c>
      <c r="R387" s="2781" t="n"/>
      <c r="S387" s="2943" t="s">
        <v>66</v>
      </c>
      <c r="V387" s="2799" t="n"/>
      <c r="W387" s="2943" t="s">
        <v>67</v>
      </c>
      <c r="Z387" s="2799" t="n"/>
      <c r="AA387" s="2943" t="s">
        <v>69</v>
      </c>
      <c r="AD387" s="2799" t="n"/>
      <c r="AE387" s="2943" t="s">
        <v>70</v>
      </c>
      <c r="AH387" s="2799" t="n"/>
      <c r="AI387" s="2943" t="s">
        <v>71</v>
      </c>
      <c r="AL387" s="2781" t="n"/>
      <c r="AM387" s="2943" t="s">
        <v>72</v>
      </c>
      <c r="AP387" s="2781" t="n"/>
      <c r="AQ387" s="2943" t="s">
        <v>73</v>
      </c>
      <c r="AT387" s="2781" t="n"/>
      <c r="AU387" s="2943" t="s">
        <v>74</v>
      </c>
      <c r="AX387" s="2781" t="n"/>
      <c r="AY387" s="2943" t="s">
        <v>173</v>
      </c>
    </row>
    <row hidden="1" outlineLevel="1" r="388" s="1843" spans="1:55">
      <c r="A388" s="2856" t="n"/>
      <c r="B388" s="2785" t="n"/>
      <c r="C388" s="2856" t="s">
        <v>89</v>
      </c>
      <c r="D388" s="2856" t="s">
        <v>152</v>
      </c>
      <c r="E388" s="2856" t="s">
        <v>153</v>
      </c>
      <c r="F388" s="2785" t="n"/>
      <c r="G388" s="2856" t="s">
        <v>89</v>
      </c>
      <c r="H388" s="2856" t="s">
        <v>152</v>
      </c>
      <c r="I388" s="2856" t="s">
        <v>153</v>
      </c>
      <c r="J388" s="2785" t="n"/>
      <c r="K388" s="2856" t="s">
        <v>89</v>
      </c>
      <c r="L388" s="2856" t="s">
        <v>152</v>
      </c>
      <c r="M388" s="2856" t="s">
        <v>153</v>
      </c>
      <c r="N388" s="2799" t="n"/>
      <c r="O388" s="2856" t="s">
        <v>89</v>
      </c>
      <c r="P388" s="2856" t="s">
        <v>152</v>
      </c>
      <c r="Q388" s="2856" t="s">
        <v>153</v>
      </c>
      <c r="R388" s="2785" t="n"/>
      <c r="S388" s="2856" t="s">
        <v>89</v>
      </c>
      <c r="T388" s="2856" t="s">
        <v>152</v>
      </c>
      <c r="U388" s="2856" t="s">
        <v>153</v>
      </c>
      <c r="V388" s="2799" t="n"/>
      <c r="W388" s="2856" t="s">
        <v>89</v>
      </c>
      <c r="X388" s="2856" t="s">
        <v>152</v>
      </c>
      <c r="Y388" s="2856" t="s">
        <v>153</v>
      </c>
      <c r="Z388" s="2799" t="n"/>
      <c r="AA388" s="2856" t="s">
        <v>89</v>
      </c>
      <c r="AB388" s="2856" t="s">
        <v>152</v>
      </c>
      <c r="AC388" s="2856" t="s">
        <v>153</v>
      </c>
      <c r="AD388" s="2799" t="n"/>
      <c r="AE388" s="2856" t="s">
        <v>89</v>
      </c>
      <c r="AF388" s="2856" t="s">
        <v>152</v>
      </c>
      <c r="AG388" s="2856" t="s">
        <v>153</v>
      </c>
      <c r="AH388" s="2799" t="n"/>
      <c r="AI388" s="2856" t="s">
        <v>89</v>
      </c>
      <c r="AJ388" s="2856" t="s">
        <v>152</v>
      </c>
      <c r="AK388" s="2856" t="s">
        <v>153</v>
      </c>
      <c r="AL388" s="2785" t="n"/>
      <c r="AM388" s="2856" t="s">
        <v>89</v>
      </c>
      <c r="AN388" s="2856" t="s">
        <v>152</v>
      </c>
      <c r="AO388" s="2856" t="s">
        <v>153</v>
      </c>
      <c r="AP388" s="2785" t="n"/>
      <c r="AQ388" s="2856" t="s">
        <v>89</v>
      </c>
      <c r="AR388" s="2856" t="s">
        <v>152</v>
      </c>
      <c r="AS388" s="2856" t="s">
        <v>153</v>
      </c>
      <c r="AT388" s="2785" t="n"/>
      <c r="AU388" s="2856" t="s">
        <v>89</v>
      </c>
      <c r="AV388" s="2856" t="s">
        <v>152</v>
      </c>
      <c r="AW388" s="2856" t="s">
        <v>153</v>
      </c>
      <c r="AX388" s="2785" t="n"/>
      <c r="AY388" s="2856" t="s">
        <v>89</v>
      </c>
      <c r="AZ388" s="2856" t="s">
        <v>152</v>
      </c>
      <c r="BA388" s="2856" t="s">
        <v>153</v>
      </c>
    </row>
    <row hidden="1" outlineLevel="1" r="389" s="1843" spans="1:55">
      <c r="A389" s="2857" t="s">
        <v>187</v>
      </c>
      <c r="B389" s="2789" t="n"/>
      <c r="C389" s="2944" t="n"/>
      <c r="D389" s="2857">
        <f>' SET Cost(staf+OS)'!D519/1000</f>
        <v/>
      </c>
      <c r="E389" s="2944" t="n"/>
      <c r="F389" s="2945" t="n"/>
      <c r="G389" s="2944" t="n"/>
      <c r="H389" s="2857">
        <f>' SET Cost(staf+OS)'!E519/1000</f>
        <v/>
      </c>
      <c r="I389" s="2944" t="n"/>
      <c r="J389" s="2789" t="n"/>
      <c r="K389" s="2944" t="n"/>
      <c r="L389" s="2857">
        <f>' SET Cost(staf+OS)'!F519/1000</f>
        <v/>
      </c>
      <c r="M389" s="2944" t="n"/>
      <c r="N389" s="2799" t="n"/>
      <c r="O389" s="2944" t="n"/>
      <c r="P389" s="2857">
        <f>' SET Cost(staf+OS)'!G519/1000</f>
        <v/>
      </c>
      <c r="Q389" s="2944" t="n"/>
      <c r="R389" s="2789" t="n"/>
      <c r="S389" s="2944" t="n"/>
      <c r="T389" s="2857">
        <f>' SET Cost(staf+OS)'!H519/1000</f>
        <v/>
      </c>
      <c r="U389" s="2944" t="n"/>
      <c r="V389" s="2799" t="n"/>
      <c r="W389" s="2944" t="n"/>
      <c r="X389" s="2857">
        <f>' SET Cost(staf+OS)'!I519/1000</f>
        <v/>
      </c>
      <c r="Y389" s="2944" t="n"/>
      <c r="Z389" s="2799" t="n"/>
      <c r="AA389" s="2944" t="n"/>
      <c r="AB389" s="2857">
        <f>' SET Cost(staf+OS)'!J519/1000</f>
        <v/>
      </c>
      <c r="AC389" s="2944" t="n"/>
      <c r="AD389" s="2799" t="n"/>
      <c r="AE389" s="2944" t="n"/>
      <c r="AF389" s="2857">
        <f>' SET Cost(staf+OS)'!K519/1000</f>
        <v/>
      </c>
      <c r="AG389" s="2944" t="n"/>
      <c r="AH389" s="2799" t="n"/>
      <c r="AI389" s="2944" t="n"/>
      <c r="AJ389" s="2857">
        <f>' SET Cost(staf+OS)'!L519/1000</f>
        <v/>
      </c>
      <c r="AK389" s="2944" t="n"/>
      <c r="AL389" s="2789" t="n"/>
      <c r="AM389" s="2944" t="n"/>
      <c r="AN389" s="2857">
        <f>' SET Cost(staf+OS)'!M519/1000</f>
        <v/>
      </c>
      <c r="AO389" s="2944" t="n"/>
      <c r="AP389" s="2789" t="n"/>
      <c r="AQ389" s="2944" t="n"/>
      <c r="AR389" s="2857">
        <f>' SET Cost(staf+OS)'!N519/1000</f>
        <v/>
      </c>
      <c r="AS389" s="2944" t="n"/>
      <c r="AT389" s="2789" t="n"/>
      <c r="AU389" s="2944" t="n"/>
      <c r="AV389" s="2857">
        <f>' SET Cost(staf+OS)'!O519/1000</f>
        <v/>
      </c>
      <c r="AW389" s="2944" t="n"/>
      <c r="AX389" s="2789" t="n"/>
      <c r="AY389" s="2857" t="n"/>
      <c r="AZ389" s="2857">
        <f>SUM(C389:AW389)</f>
        <v/>
      </c>
      <c r="BA389" s="2857" t="n"/>
    </row>
    <row hidden="1" outlineLevel="1" r="390" s="1843" spans="1:55">
      <c r="A390" s="2857" t="s">
        <v>189</v>
      </c>
      <c r="B390" s="2789" t="n"/>
      <c r="C390" s="2946" t="n"/>
      <c r="D390" s="2857">
        <f>' SET Cost(staf+OS)'!D520/1000</f>
        <v/>
      </c>
      <c r="E390" s="2944" t="n"/>
      <c r="F390" s="2945" t="n"/>
      <c r="G390" s="2944" t="n"/>
      <c r="H390" s="2857">
        <f>' SET Cost(staf+OS)'!E520/1000</f>
        <v/>
      </c>
      <c r="I390" s="2944" t="n"/>
      <c r="J390" s="2789" t="n"/>
      <c r="K390" s="2944" t="n"/>
      <c r="L390" s="2857">
        <f>' SET Cost(staf+OS)'!F520/1000</f>
        <v/>
      </c>
      <c r="M390" s="2944" t="n"/>
      <c r="N390" s="2799" t="n"/>
      <c r="O390" s="2944" t="n"/>
      <c r="P390" s="2857">
        <f>' SET Cost(staf+OS)'!G520/1000</f>
        <v/>
      </c>
      <c r="Q390" s="2944" t="n"/>
      <c r="R390" s="2789" t="n"/>
      <c r="S390" s="2944" t="n"/>
      <c r="T390" s="2857">
        <f>' SET Cost(staf+OS)'!H520/1000</f>
        <v/>
      </c>
      <c r="U390" s="2944" t="n"/>
      <c r="V390" s="2799" t="n"/>
      <c r="W390" s="2944" t="n"/>
      <c r="X390" s="2857">
        <f>' SET Cost(staf+OS)'!I520/1000</f>
        <v/>
      </c>
      <c r="Y390" s="2944" t="n"/>
      <c r="Z390" s="2799" t="n"/>
      <c r="AA390" s="2944" t="n"/>
      <c r="AB390" s="2857">
        <f>' SET Cost(staf+OS)'!J520/1000</f>
        <v/>
      </c>
      <c r="AC390" s="2944" t="n"/>
      <c r="AD390" s="2799" t="n"/>
      <c r="AE390" s="2944" t="n"/>
      <c r="AF390" s="2857">
        <f>' SET Cost(staf+OS)'!K520/1000</f>
        <v/>
      </c>
      <c r="AG390" s="2944" t="n"/>
      <c r="AH390" s="2799" t="n"/>
      <c r="AI390" s="2944" t="n"/>
      <c r="AJ390" s="2857">
        <f>' SET Cost(staf+OS)'!L520/1000</f>
        <v/>
      </c>
      <c r="AK390" s="2944" t="n"/>
      <c r="AL390" s="2789" t="n"/>
      <c r="AM390" s="2944" t="n"/>
      <c r="AN390" s="2857">
        <f>' SET Cost(staf+OS)'!M520/1000</f>
        <v/>
      </c>
      <c r="AO390" s="2944" t="n"/>
      <c r="AP390" s="2789" t="n"/>
      <c r="AQ390" s="2944" t="n"/>
      <c r="AR390" s="2857">
        <f>' SET Cost(staf+OS)'!N520/1000</f>
        <v/>
      </c>
      <c r="AS390" s="2944" t="n"/>
      <c r="AT390" s="2789" t="n"/>
      <c r="AU390" s="2944" t="n"/>
      <c r="AV390" s="2857">
        <f>' SET Cost(staf+OS)'!O520/1000</f>
        <v/>
      </c>
      <c r="AW390" s="2946" t="n"/>
      <c r="AX390" s="2789" t="n"/>
      <c r="AY390" s="2858" t="n"/>
      <c r="AZ390" s="2857">
        <f>SUM(C390:AW390)</f>
        <v/>
      </c>
      <c r="BA390" s="2858" t="n"/>
    </row>
    <row hidden="1" outlineLevel="1" r="391" s="1843" spans="1:55">
      <c r="A391" s="2857" t="s">
        <v>252</v>
      </c>
      <c r="B391" s="2789" t="n"/>
      <c r="C391" s="2946" t="n"/>
      <c r="D391" s="2857">
        <f>' SET Cost(staf+OS)'!D521/1000</f>
        <v/>
      </c>
      <c r="E391" s="2944" t="n"/>
      <c r="F391" s="2945" t="n"/>
      <c r="G391" s="2944" t="n"/>
      <c r="H391" s="2857">
        <f>' SET Cost(staf+OS)'!E521/1000</f>
        <v/>
      </c>
      <c r="I391" s="2944" t="n"/>
      <c r="J391" s="2789" t="n"/>
      <c r="K391" s="2944" t="n"/>
      <c r="L391" s="2857">
        <f>' SET Cost(staf+OS)'!F521/1000</f>
        <v/>
      </c>
      <c r="M391" s="2944" t="n"/>
      <c r="N391" s="2799" t="n"/>
      <c r="O391" s="2944" t="n"/>
      <c r="P391" s="2857">
        <f>' SET Cost(staf+OS)'!G521/1000</f>
        <v/>
      </c>
      <c r="Q391" s="2944" t="n"/>
      <c r="R391" s="2789" t="n"/>
      <c r="S391" s="2944" t="n"/>
      <c r="T391" s="2857">
        <f>' SET Cost(staf+OS)'!H521/1000</f>
        <v/>
      </c>
      <c r="U391" s="2944" t="n"/>
      <c r="V391" s="2799" t="n"/>
      <c r="W391" s="2944" t="n"/>
      <c r="X391" s="2857">
        <f>' SET Cost(staf+OS)'!I521/1000</f>
        <v/>
      </c>
      <c r="Y391" s="2944" t="n"/>
      <c r="Z391" s="2799" t="n"/>
      <c r="AA391" s="2944" t="n"/>
      <c r="AB391" s="2857">
        <f>' SET Cost(staf+OS)'!J521/1000</f>
        <v/>
      </c>
      <c r="AC391" s="2944" t="n"/>
      <c r="AD391" s="2799" t="n"/>
      <c r="AE391" s="2944" t="n"/>
      <c r="AF391" s="2857">
        <f>' SET Cost(staf+OS)'!K521/1000</f>
        <v/>
      </c>
      <c r="AG391" s="2944" t="n"/>
      <c r="AH391" s="2799" t="n"/>
      <c r="AI391" s="2944" t="n"/>
      <c r="AJ391" s="2857">
        <f>' SET Cost(staf+OS)'!L521/1000</f>
        <v/>
      </c>
      <c r="AK391" s="2944" t="n"/>
      <c r="AL391" s="2789" t="n"/>
      <c r="AM391" s="2944" t="n"/>
      <c r="AN391" s="2857">
        <f>' SET Cost(staf+OS)'!M521/1000</f>
        <v/>
      </c>
      <c r="AO391" s="2944" t="n"/>
      <c r="AP391" s="2789" t="n"/>
      <c r="AQ391" s="2944" t="n"/>
      <c r="AR391" s="2857">
        <f>' SET Cost(staf+OS)'!N521/1000</f>
        <v/>
      </c>
      <c r="AS391" s="2944" t="n"/>
      <c r="AT391" s="2789" t="n"/>
      <c r="AU391" s="2944" t="n"/>
      <c r="AV391" s="2857">
        <f>' SET Cost(staf+OS)'!O521/1000</f>
        <v/>
      </c>
      <c r="AW391" s="2858" t="n"/>
      <c r="AX391" s="2789" t="n"/>
      <c r="AY391" s="2858" t="n"/>
      <c r="AZ391" s="2858">
        <f>SUM(C391:AW391)</f>
        <v/>
      </c>
      <c r="BA391" s="2858" t="n"/>
    </row>
    <row hidden="1" outlineLevel="1" r="392" s="1843" spans="1:55">
      <c r="A392" s="2857" t="s">
        <v>191</v>
      </c>
      <c r="B392" s="2789" t="n"/>
      <c r="C392" s="2946" t="n"/>
      <c r="D392" s="2857">
        <f>' SET Cost(staf+OS)'!D522/1000</f>
        <v/>
      </c>
      <c r="E392" s="2944" t="n"/>
      <c r="F392" s="2945" t="n"/>
      <c r="G392" s="2944" t="n"/>
      <c r="H392" s="2857">
        <f>' SET Cost(staf+OS)'!E522/1000</f>
        <v/>
      </c>
      <c r="I392" s="2944" t="n"/>
      <c r="J392" s="2789" t="n"/>
      <c r="K392" s="2944" t="n"/>
      <c r="L392" s="2857">
        <f>' SET Cost(staf+OS)'!F522/1000</f>
        <v/>
      </c>
      <c r="M392" s="2944" t="n"/>
      <c r="N392" s="2799" t="n"/>
      <c r="O392" s="2944" t="n"/>
      <c r="P392" s="2857">
        <f>' SET Cost(staf+OS)'!G522/1000</f>
        <v/>
      </c>
      <c r="Q392" s="2944" t="n"/>
      <c r="R392" s="2789" t="n"/>
      <c r="S392" s="2944" t="n"/>
      <c r="T392" s="2857">
        <f>' SET Cost(staf+OS)'!H522/1000</f>
        <v/>
      </c>
      <c r="U392" s="2944" t="n"/>
      <c r="V392" s="2799" t="n"/>
      <c r="W392" s="2944" t="n"/>
      <c r="X392" s="2857">
        <f>' SET Cost(staf+OS)'!I522/1000</f>
        <v/>
      </c>
      <c r="Y392" s="2944" t="n"/>
      <c r="Z392" s="2799" t="n"/>
      <c r="AA392" s="2944" t="n"/>
      <c r="AB392" s="2857">
        <f>' SET Cost(staf+OS)'!J522/1000</f>
        <v/>
      </c>
      <c r="AC392" s="2944" t="n"/>
      <c r="AD392" s="2799" t="n"/>
      <c r="AE392" s="2944" t="n"/>
      <c r="AF392" s="2857">
        <f>' SET Cost(staf+OS)'!K522/1000</f>
        <v/>
      </c>
      <c r="AG392" s="2944" t="n"/>
      <c r="AH392" s="2799" t="n"/>
      <c r="AI392" s="2944" t="n"/>
      <c r="AJ392" s="2857">
        <f>' SET Cost(staf+OS)'!L522/1000</f>
        <v/>
      </c>
      <c r="AK392" s="2944" t="n"/>
      <c r="AL392" s="2789" t="n"/>
      <c r="AM392" s="2944" t="n"/>
      <c r="AN392" s="2857">
        <f>' SET Cost(staf+OS)'!M522/1000</f>
        <v/>
      </c>
      <c r="AO392" s="2944" t="n"/>
      <c r="AP392" s="2789" t="n"/>
      <c r="AQ392" s="2944" t="n"/>
      <c r="AR392" s="2857">
        <f>' SET Cost(staf+OS)'!N522/1000</f>
        <v/>
      </c>
      <c r="AS392" s="2944" t="n"/>
      <c r="AT392" s="2789" t="n"/>
      <c r="AU392" s="2944" t="n"/>
      <c r="AV392" s="2857">
        <f>' SET Cost(staf+OS)'!O522/1000</f>
        <v/>
      </c>
      <c r="AW392" s="2946" t="n"/>
      <c r="AX392" s="2789" t="n"/>
      <c r="AY392" s="2858" t="n"/>
      <c r="AZ392" s="2857">
        <f>SUM(C392:AW392)</f>
        <v/>
      </c>
      <c r="BA392" s="2858" t="n"/>
    </row>
    <row hidden="1" outlineLevel="1" r="393" s="1843" spans="1:55">
      <c r="A393" s="2857" t="s">
        <v>192</v>
      </c>
      <c r="B393" s="2789" t="n"/>
      <c r="C393" s="2946" t="n"/>
      <c r="D393" s="2857">
        <f>' SET Cost(staf+OS)'!D523/1000</f>
        <v/>
      </c>
      <c r="E393" s="2944" t="n"/>
      <c r="F393" s="2945" t="n"/>
      <c r="G393" s="2944" t="n"/>
      <c r="H393" s="2857">
        <f>' SET Cost(staf+OS)'!E523/1000</f>
        <v/>
      </c>
      <c r="I393" s="2944" t="n"/>
      <c r="J393" s="2789" t="n"/>
      <c r="K393" s="2944" t="n"/>
      <c r="L393" s="2857">
        <f>' SET Cost(staf+OS)'!F523/1000</f>
        <v/>
      </c>
      <c r="M393" s="2944" t="n"/>
      <c r="N393" s="2799" t="n"/>
      <c r="O393" s="2944" t="n"/>
      <c r="P393" s="2857">
        <f>' SET Cost(staf+OS)'!G523/1000</f>
        <v/>
      </c>
      <c r="Q393" s="2944" t="n"/>
      <c r="R393" s="2789" t="n"/>
      <c r="S393" s="2944" t="n"/>
      <c r="T393" s="2857">
        <f>' SET Cost(staf+OS)'!H523/1000</f>
        <v/>
      </c>
      <c r="U393" s="2944" t="n"/>
      <c r="V393" s="2799" t="n"/>
      <c r="W393" s="2944" t="n"/>
      <c r="X393" s="2857">
        <f>' SET Cost(staf+OS)'!I523/1000</f>
        <v/>
      </c>
      <c r="Y393" s="2944" t="n"/>
      <c r="Z393" s="2799" t="n"/>
      <c r="AA393" s="2944" t="n"/>
      <c r="AB393" s="2857">
        <f>' SET Cost(staf+OS)'!J523/1000</f>
        <v/>
      </c>
      <c r="AC393" s="2944" t="n"/>
      <c r="AD393" s="2799" t="n"/>
      <c r="AE393" s="2944" t="n"/>
      <c r="AF393" s="2857">
        <f>' SET Cost(staf+OS)'!K523/1000</f>
        <v/>
      </c>
      <c r="AG393" s="2944" t="n"/>
      <c r="AH393" s="2799" t="n"/>
      <c r="AI393" s="2944" t="n"/>
      <c r="AJ393" s="2857">
        <f>' SET Cost(staf+OS)'!L523/1000</f>
        <v/>
      </c>
      <c r="AK393" s="2944" t="n"/>
      <c r="AL393" s="2789" t="n"/>
      <c r="AM393" s="2944" t="n"/>
      <c r="AN393" s="2857">
        <f>' SET Cost(staf+OS)'!M523/1000</f>
        <v/>
      </c>
      <c r="AO393" s="2944" t="n"/>
      <c r="AP393" s="2789" t="n"/>
      <c r="AQ393" s="2944" t="n"/>
      <c r="AR393" s="2857">
        <f>' SET Cost(staf+OS)'!N523/1000</f>
        <v/>
      </c>
      <c r="AS393" s="2944" t="n"/>
      <c r="AT393" s="2789" t="n"/>
      <c r="AU393" s="2944" t="n"/>
      <c r="AV393" s="2857">
        <f>' SET Cost(staf+OS)'!O523/1000</f>
        <v/>
      </c>
      <c r="AW393" s="2946" t="n"/>
      <c r="AX393" s="2789" t="n"/>
      <c r="AY393" s="2858" t="n"/>
      <c r="AZ393" s="2857">
        <f>SUM(C393:AW393)</f>
        <v/>
      </c>
      <c r="BA393" s="2858" t="n"/>
    </row>
    <row hidden="1" outlineLevel="1" r="394" s="1843" spans="1:55">
      <c r="A394" s="2947" t="s">
        <v>194</v>
      </c>
      <c r="B394" s="2948" t="n"/>
      <c r="C394" s="2949" t="n"/>
      <c r="D394" s="2842">
        <f>' SET Cost(staf+OS)'!D524/1000+'OS&amp;Travel Exp'!C61/1000</f>
        <v/>
      </c>
      <c r="E394" s="2842" t="n"/>
      <c r="F394" s="2789" t="n"/>
      <c r="G394" s="2842" t="n"/>
      <c r="H394" s="2842">
        <f>' SET Cost(staf+OS)'!E524/1000+'OS&amp;Travel Exp'!D61/1000</f>
        <v/>
      </c>
      <c r="I394" s="2842" t="n"/>
      <c r="J394" s="2789" t="n"/>
      <c r="K394" s="2842" t="n"/>
      <c r="L394" s="2842">
        <f>' SET Cost(staf+OS)'!F524/1000+'OS&amp;Travel Exp'!E61/1000</f>
        <v/>
      </c>
      <c r="M394" s="2842" t="n"/>
      <c r="N394" s="2799" t="n"/>
      <c r="O394" s="2842" t="n"/>
      <c r="P394" s="2842">
        <f>' SET Cost(staf+OS)'!G524/1000+'OS&amp;Travel Exp'!F61/1000</f>
        <v/>
      </c>
      <c r="Q394" s="2842" t="n"/>
      <c r="R394" s="2789" t="n"/>
      <c r="S394" s="2842" t="n"/>
      <c r="T394" s="2842">
        <f>' SET Cost(staf+OS)'!H524/1000+'OS&amp;Travel Exp'!G61/1000</f>
        <v/>
      </c>
      <c r="U394" s="2842" t="n"/>
      <c r="V394" s="2799" t="n"/>
      <c r="W394" s="2842" t="n"/>
      <c r="X394" s="2842">
        <f>' SET Cost(staf+OS)'!I524/1000+'OS&amp;Travel Exp'!H61/1000</f>
        <v/>
      </c>
      <c r="Y394" s="2842" t="n"/>
      <c r="Z394" s="2799" t="n"/>
      <c r="AA394" s="2842" t="n"/>
      <c r="AB394" s="2842">
        <f>' SET Cost(staf+OS)'!J524/1000+'OS&amp;Travel Exp'!I61/1000</f>
        <v/>
      </c>
      <c r="AC394" s="2842" t="n"/>
      <c r="AD394" s="2799" t="n"/>
      <c r="AE394" s="2842" t="n"/>
      <c r="AF394" s="2842">
        <f>' SET Cost(staf+OS)'!K524/1000+'OS&amp;Travel Exp'!J61/1000</f>
        <v/>
      </c>
      <c r="AG394" s="2842" t="n"/>
      <c r="AH394" s="2799" t="n"/>
      <c r="AI394" s="2842" t="n"/>
      <c r="AJ394" s="2842">
        <f>' SET Cost(staf+OS)'!L524/1000+'OS&amp;Travel Exp'!K61/1000</f>
        <v/>
      </c>
      <c r="AK394" s="2842" t="n"/>
      <c r="AL394" s="2789" t="n"/>
      <c r="AM394" s="2842" t="n"/>
      <c r="AN394" s="2842">
        <f>' SET Cost(staf+OS)'!M524/1000+'OS&amp;Travel Exp'!L61/1000</f>
        <v/>
      </c>
      <c r="AO394" s="2842" t="n"/>
      <c r="AP394" s="2789" t="n"/>
      <c r="AQ394" s="2842" t="n"/>
      <c r="AR394" s="2842">
        <f>' SET Cost(staf+OS)'!N524/1000+'OS&amp;Travel Exp'!M61/1000</f>
        <v/>
      </c>
      <c r="AS394" s="2842" t="n"/>
      <c r="AT394" s="2789" t="n"/>
      <c r="AU394" s="2842" t="n"/>
      <c r="AV394" s="2842">
        <f>' SET Cost(staf+OS)'!O524/1000+'OS&amp;Travel Exp'!N61/1000</f>
        <v/>
      </c>
      <c r="AW394" s="2950" t="n"/>
      <c r="AX394" s="2948" t="n"/>
      <c r="AY394" s="2950" t="n"/>
      <c r="AZ394" s="2950">
        <f>SUM(C394:AW394)</f>
        <v/>
      </c>
      <c r="BA394" s="2950" t="n"/>
    </row>
    <row hidden="1" outlineLevel="1" r="395" s="1843" spans="1:55">
      <c r="A395" s="2857" t="s">
        <v>195</v>
      </c>
      <c r="B395" s="2789" t="n"/>
      <c r="C395" s="2944" t="n"/>
      <c r="D395" s="2842">
        <f>' SET Cost(staf+OS)'!D525/1000+'OS&amp;Travel Exp'!C38/1000</f>
        <v/>
      </c>
      <c r="E395" s="2842" t="n"/>
      <c r="F395" s="2789" t="n"/>
      <c r="G395" s="2842" t="n"/>
      <c r="H395" s="2842">
        <f>' SET Cost(staf+OS)'!E525/1000+'OS&amp;Travel Exp'!D38/1000</f>
        <v/>
      </c>
      <c r="I395" s="2842" t="n"/>
      <c r="J395" s="2789" t="n"/>
      <c r="K395" s="2842" t="n"/>
      <c r="L395" s="2842">
        <f>' SET Cost(staf+OS)'!F525/1000+'OS&amp;Travel Exp'!E38/1000</f>
        <v/>
      </c>
      <c r="M395" s="2842" t="n"/>
      <c r="N395" s="2799" t="n"/>
      <c r="O395" s="2842" t="n"/>
      <c r="P395" s="2842">
        <f>' SET Cost(staf+OS)'!G525/1000+'OS&amp;Travel Exp'!F38/1000</f>
        <v/>
      </c>
      <c r="Q395" s="2842" t="n"/>
      <c r="R395" s="2789" t="n"/>
      <c r="S395" s="2842" t="n"/>
      <c r="T395" s="2842">
        <f>' SET Cost(staf+OS)'!H525/1000+'OS&amp;Travel Exp'!G38/1000</f>
        <v/>
      </c>
      <c r="U395" s="2842" t="n"/>
      <c r="V395" s="2799" t="n"/>
      <c r="W395" s="2842" t="n"/>
      <c r="X395" s="2842">
        <f>' SET Cost(staf+OS)'!I525/1000+'OS&amp;Travel Exp'!H38/1000</f>
        <v/>
      </c>
      <c r="Y395" s="2842" t="n"/>
      <c r="Z395" s="2799" t="n"/>
      <c r="AA395" s="2842" t="n"/>
      <c r="AB395" s="2842">
        <f>' SET Cost(staf+OS)'!J525/1000+'OS&amp;Travel Exp'!I38/1000</f>
        <v/>
      </c>
      <c r="AC395" s="2842" t="n"/>
      <c r="AD395" s="2799" t="n"/>
      <c r="AE395" s="2842" t="n"/>
      <c r="AF395" s="2842">
        <f>' SET Cost(staf+OS)'!K525/1000+'OS&amp;Travel Exp'!J38/1000</f>
        <v/>
      </c>
      <c r="AG395" s="2842" t="n"/>
      <c r="AH395" s="2799" t="n"/>
      <c r="AI395" s="2842" t="n"/>
      <c r="AJ395" s="2842">
        <f>' SET Cost(staf+OS)'!L525/1000+'OS&amp;Travel Exp'!K38/1000</f>
        <v/>
      </c>
      <c r="AK395" s="2842" t="n"/>
      <c r="AL395" s="2789" t="n"/>
      <c r="AM395" s="2842" t="n"/>
      <c r="AN395" s="2842">
        <f>' SET Cost(staf+OS)'!M525/1000+'OS&amp;Travel Exp'!L38/1000</f>
        <v/>
      </c>
      <c r="AO395" s="2842" t="n"/>
      <c r="AP395" s="2789" t="n"/>
      <c r="AQ395" s="2842" t="n"/>
      <c r="AR395" s="2842">
        <f>' SET Cost(staf+OS)'!N525/1000+'OS&amp;Travel Exp'!M38/1000</f>
        <v/>
      </c>
      <c r="AS395" s="2842" t="n"/>
      <c r="AT395" s="2789" t="n"/>
      <c r="AU395" s="2842" t="n"/>
      <c r="AV395" s="2842">
        <f>' SET Cost(staf+OS)'!O525/1000+'OS&amp;Travel Exp'!N38/1000</f>
        <v/>
      </c>
      <c r="AW395" s="2944" t="n"/>
      <c r="AX395" s="2789" t="n"/>
      <c r="AY395" s="2857" t="n"/>
      <c r="AZ395" s="2857">
        <f>SUM(C395:AW395)</f>
        <v/>
      </c>
      <c r="BA395" s="2857" t="n"/>
    </row>
    <row hidden="1" outlineLevel="1" r="396" s="1843" spans="1:55">
      <c r="A396" s="2794" t="s">
        <v>366</v>
      </c>
      <c r="B396" s="2793" t="n"/>
      <c r="C396" s="2928" t="n"/>
      <c r="D396" s="2844">
        <f>'OS&amp;Travel Exp'!C13</f>
        <v/>
      </c>
      <c r="E396" s="2844" t="n"/>
      <c r="F396" s="2793" t="n"/>
      <c r="G396" s="2844" t="n"/>
      <c r="H396" s="2844">
        <f>'OS&amp;Travel Exp'!D13</f>
        <v/>
      </c>
      <c r="I396" s="2844" t="n"/>
      <c r="J396" s="2793" t="n"/>
      <c r="K396" s="2844" t="n"/>
      <c r="L396" s="2844">
        <f>'OS&amp;Travel Exp'!E13</f>
        <v/>
      </c>
      <c r="M396" s="2844" t="n"/>
      <c r="N396" s="2795" t="n"/>
      <c r="O396" s="2844" t="n"/>
      <c r="P396" s="2844">
        <f>'OS&amp;Travel Exp'!F13</f>
        <v/>
      </c>
      <c r="Q396" s="2844" t="n"/>
      <c r="R396" s="2793" t="n"/>
      <c r="S396" s="2844" t="n"/>
      <c r="T396" s="2844">
        <f>'OS&amp;Travel Exp'!G13</f>
        <v/>
      </c>
      <c r="U396" s="2844" t="n"/>
      <c r="V396" s="2795" t="n"/>
      <c r="W396" s="2844" t="n"/>
      <c r="X396" s="2844">
        <f>'OS&amp;Travel Exp'!H13</f>
        <v/>
      </c>
      <c r="Y396" s="2844" t="n"/>
      <c r="Z396" s="2795" t="n"/>
      <c r="AA396" s="2844" t="n"/>
      <c r="AB396" s="2844">
        <f>'OS&amp;Travel Exp'!I13</f>
        <v/>
      </c>
      <c r="AC396" s="2844" t="n"/>
      <c r="AD396" s="2795" t="n"/>
      <c r="AE396" s="2844" t="n"/>
      <c r="AF396" s="2844">
        <f>'OS&amp;Travel Exp'!J13</f>
        <v/>
      </c>
      <c r="AG396" s="2844" t="n"/>
      <c r="AH396" s="2795" t="n"/>
      <c r="AI396" s="2844" t="n"/>
      <c r="AJ396" s="2844">
        <f>'OS&amp;Travel Exp'!K13</f>
        <v/>
      </c>
      <c r="AK396" s="2844" t="n"/>
      <c r="AL396" s="2793" t="n"/>
      <c r="AM396" s="2844" t="n"/>
      <c r="AN396" s="2844">
        <f>'OS&amp;Travel Exp'!L13</f>
        <v/>
      </c>
      <c r="AO396" s="2844" t="n"/>
      <c r="AP396" s="2793" t="n"/>
      <c r="AQ396" s="2844" t="n"/>
      <c r="AR396" s="2844">
        <f>'OS&amp;Travel Exp'!M13</f>
        <v/>
      </c>
      <c r="AS396" s="2844" t="n"/>
      <c r="AT396" s="2793" t="n"/>
      <c r="AU396" s="2844" t="n"/>
      <c r="AV396" s="2844">
        <f>'OS&amp;Travel Exp'!N13</f>
        <v/>
      </c>
      <c r="AW396" s="2794" t="n"/>
      <c r="AX396" s="2793" t="n"/>
      <c r="AY396" s="2794" t="n"/>
      <c r="AZ396" s="2794">
        <f>SUM(C396:AW396)</f>
        <v/>
      </c>
      <c r="BA396" s="2794" t="n"/>
    </row>
    <row hidden="1" outlineLevel="1" r="397" s="1843" spans="1:55">
      <c r="A397" s="2857" t="s">
        <v>161</v>
      </c>
      <c r="B397" s="2789" t="n"/>
      <c r="C397" s="2944" t="n"/>
      <c r="D397" s="2857">
        <f>' SET Cost(staf+OS)'!D527/1000</f>
        <v/>
      </c>
      <c r="E397" s="2944" t="n"/>
      <c r="F397" s="2945" t="n"/>
      <c r="G397" s="2944" t="n"/>
      <c r="H397" s="2857">
        <f>' SET Cost(staf+OS)'!E527/1000</f>
        <v/>
      </c>
      <c r="I397" s="2944" t="n"/>
      <c r="J397" s="2789" t="n"/>
      <c r="K397" s="2944" t="n"/>
      <c r="L397" s="2857">
        <f>' SET Cost(staf+OS)'!F527/1000</f>
        <v/>
      </c>
      <c r="M397" s="2944" t="n"/>
      <c r="N397" s="2799" t="n"/>
      <c r="O397" s="2944" t="n"/>
      <c r="P397" s="2857">
        <f>' SET Cost(staf+OS)'!G527/1000</f>
        <v/>
      </c>
      <c r="Q397" s="2944" t="n"/>
      <c r="R397" s="2789" t="n"/>
      <c r="S397" s="2944" t="n"/>
      <c r="T397" s="2857">
        <f>' SET Cost(staf+OS)'!H527/1000</f>
        <v/>
      </c>
      <c r="U397" s="2944" t="n"/>
      <c r="V397" s="2799" t="n"/>
      <c r="W397" s="2944" t="n"/>
      <c r="X397" s="2857">
        <f>' SET Cost(staf+OS)'!I527/1000</f>
        <v/>
      </c>
      <c r="Y397" s="2944" t="n"/>
      <c r="Z397" s="2799" t="n"/>
      <c r="AA397" s="2944" t="n"/>
      <c r="AB397" s="2857">
        <f>' SET Cost(staf+OS)'!J527/1000</f>
        <v/>
      </c>
      <c r="AC397" s="2944" t="n"/>
      <c r="AD397" s="2799" t="n"/>
      <c r="AE397" s="2944" t="n"/>
      <c r="AF397" s="2857">
        <f>' SET Cost(staf+OS)'!K527/1000</f>
        <v/>
      </c>
      <c r="AG397" s="2944" t="n"/>
      <c r="AH397" s="2799" t="n"/>
      <c r="AI397" s="2944" t="n"/>
      <c r="AJ397" s="2857">
        <f>' SET Cost(staf+OS)'!L527/1000</f>
        <v/>
      </c>
      <c r="AK397" s="2944" t="n"/>
      <c r="AL397" s="2789" t="n"/>
      <c r="AM397" s="2944" t="n"/>
      <c r="AN397" s="2857">
        <f>' SET Cost(staf+OS)'!M527/1000</f>
        <v/>
      </c>
      <c r="AO397" s="2944" t="n"/>
      <c r="AP397" s="2789" t="n"/>
      <c r="AQ397" s="2944" t="n"/>
      <c r="AR397" s="2857">
        <f>' SET Cost(staf+OS)'!N527/1000</f>
        <v/>
      </c>
      <c r="AS397" s="2944" t="n"/>
      <c r="AT397" s="2789" t="n"/>
      <c r="AU397" s="2944" t="n"/>
      <c r="AV397" s="2857">
        <f>' SET Cost(staf+OS)'!O527/1000</f>
        <v/>
      </c>
      <c r="AW397" s="2944" t="n"/>
      <c r="AX397" s="2789" t="n"/>
      <c r="AY397" s="2857" t="n"/>
      <c r="AZ397" s="2857">
        <f>SUM(C397:AW397)</f>
        <v/>
      </c>
      <c r="BA397" s="2857" t="n"/>
    </row>
    <row hidden="1" outlineLevel="1" r="398" s="1843" spans="1:55">
      <c r="A398" s="2859" t="s">
        <v>367</v>
      </c>
      <c r="B398" s="2789" t="n"/>
      <c r="C398" s="2946" t="n"/>
      <c r="D398" s="2857">
        <f>' SET Cost(staf+OS)'!D528/1000</f>
        <v/>
      </c>
      <c r="E398" s="2944" t="n"/>
      <c r="F398" s="2945" t="n"/>
      <c r="G398" s="2944" t="n"/>
      <c r="H398" s="2857">
        <f>' SET Cost(staf+OS)'!E528/1000</f>
        <v/>
      </c>
      <c r="I398" s="2944" t="n"/>
      <c r="J398" s="2789" t="n"/>
      <c r="K398" s="2944" t="n"/>
      <c r="L398" s="2857">
        <f>' SET Cost(staf+OS)'!F528/1000</f>
        <v/>
      </c>
      <c r="M398" s="2944" t="n"/>
      <c r="N398" s="2799" t="n"/>
      <c r="O398" s="2944" t="n"/>
      <c r="P398" s="2857">
        <f>' SET Cost(staf+OS)'!G528/1000</f>
        <v/>
      </c>
      <c r="Q398" s="2944" t="n"/>
      <c r="R398" s="2789" t="n"/>
      <c r="S398" s="2944" t="n"/>
      <c r="T398" s="2857">
        <f>' SET Cost(staf+OS)'!H528/1000</f>
        <v/>
      </c>
      <c r="U398" s="2944" t="n"/>
      <c r="V398" s="2799" t="n"/>
      <c r="W398" s="2944" t="n"/>
      <c r="X398" s="2857">
        <f>' SET Cost(staf+OS)'!I528/1000</f>
        <v/>
      </c>
      <c r="Y398" s="2944" t="n"/>
      <c r="Z398" s="2799" t="n"/>
      <c r="AA398" s="2944" t="n"/>
      <c r="AB398" s="2857">
        <f>' SET Cost(staf+OS)'!J528/1000</f>
        <v/>
      </c>
      <c r="AC398" s="2944" t="n"/>
      <c r="AD398" s="2799" t="n"/>
      <c r="AE398" s="2944" t="n"/>
      <c r="AF398" s="2857">
        <f>' SET Cost(staf+OS)'!K528/1000</f>
        <v/>
      </c>
      <c r="AG398" s="2944" t="n"/>
      <c r="AH398" s="2799" t="n"/>
      <c r="AI398" s="2944" t="n"/>
      <c r="AJ398" s="2857">
        <f>' SET Cost(staf+OS)'!L528/1000</f>
        <v/>
      </c>
      <c r="AK398" s="2944" t="n"/>
      <c r="AL398" s="2789" t="n"/>
      <c r="AM398" s="2944" t="n"/>
      <c r="AN398" s="2857">
        <f>' SET Cost(staf+OS)'!M528/1000</f>
        <v/>
      </c>
      <c r="AO398" s="2944" t="n"/>
      <c r="AP398" s="2789" t="n"/>
      <c r="AQ398" s="2944" t="n"/>
      <c r="AR398" s="2857">
        <f>' SET Cost(staf+OS)'!N528/1000</f>
        <v/>
      </c>
      <c r="AS398" s="2944" t="n"/>
      <c r="AT398" s="2789" t="n"/>
      <c r="AU398" s="2944" t="n"/>
      <c r="AV398" s="2857">
        <f>' SET Cost(staf+OS)'!O528/1000</f>
        <v/>
      </c>
      <c r="AW398" s="2946" t="n"/>
      <c r="AX398" s="2789" t="n"/>
      <c r="AY398" s="2858" t="n"/>
      <c r="AZ398" s="2857">
        <f>SUM(C398:AW398)</f>
        <v/>
      </c>
      <c r="BA398" s="2858" t="n"/>
    </row>
    <row hidden="1" outlineLevel="1" r="399" s="1843" spans="1:55">
      <c r="A399" s="2860" t="s">
        <v>232</v>
      </c>
      <c r="B399" s="2789" t="n"/>
      <c r="C399" s="2944" t="n"/>
      <c r="D399" s="2857">
        <f>' SET Cost(staf+OS)'!D529/1000</f>
        <v/>
      </c>
      <c r="E399" s="2944" t="n"/>
      <c r="F399" s="2945" t="n"/>
      <c r="G399" s="2944" t="n"/>
      <c r="H399" s="2857">
        <f>' SET Cost(staf+OS)'!E529/1000</f>
        <v/>
      </c>
      <c r="I399" s="2944" t="n"/>
      <c r="J399" s="2789" t="n"/>
      <c r="K399" s="2944" t="n"/>
      <c r="L399" s="2857">
        <f>' SET Cost(staf+OS)'!F529/1000</f>
        <v/>
      </c>
      <c r="M399" s="2944" t="n"/>
      <c r="N399" s="2799" t="n"/>
      <c r="O399" s="2944" t="n"/>
      <c r="P399" s="2857">
        <f>' SET Cost(staf+OS)'!G529/1000</f>
        <v/>
      </c>
      <c r="Q399" s="2944" t="n"/>
      <c r="R399" s="2789" t="n"/>
      <c r="S399" s="2944" t="n"/>
      <c r="T399" s="2857">
        <f>' SET Cost(staf+OS)'!H529/1000</f>
        <v/>
      </c>
      <c r="U399" s="2944" t="n"/>
      <c r="V399" s="2799" t="n"/>
      <c r="W399" s="2944" t="n"/>
      <c r="X399" s="2857">
        <f>' SET Cost(staf+OS)'!I529/1000</f>
        <v/>
      </c>
      <c r="Y399" s="2944" t="n"/>
      <c r="Z399" s="2799" t="n"/>
      <c r="AA399" s="2944" t="n"/>
      <c r="AB399" s="2857">
        <f>' SET Cost(staf+OS)'!J529/1000</f>
        <v/>
      </c>
      <c r="AC399" s="2944" t="n"/>
      <c r="AD399" s="2799" t="n"/>
      <c r="AE399" s="2944" t="n"/>
      <c r="AF399" s="2857">
        <f>' SET Cost(staf+OS)'!K529/1000</f>
        <v/>
      </c>
      <c r="AG399" s="2944" t="n"/>
      <c r="AH399" s="2799" t="n"/>
      <c r="AI399" s="2944" t="n"/>
      <c r="AJ399" s="2857">
        <f>' SET Cost(staf+OS)'!L529/1000</f>
        <v/>
      </c>
      <c r="AK399" s="2944" t="n"/>
      <c r="AL399" s="2789" t="n"/>
      <c r="AM399" s="2944" t="n"/>
      <c r="AN399" s="2857">
        <f>' SET Cost(staf+OS)'!M529/1000</f>
        <v/>
      </c>
      <c r="AO399" s="2944" t="n"/>
      <c r="AP399" s="2789" t="n"/>
      <c r="AQ399" s="2944" t="n"/>
      <c r="AR399" s="2857">
        <f>' SET Cost(staf+OS)'!N529/1000</f>
        <v/>
      </c>
      <c r="AS399" s="2944" t="n"/>
      <c r="AT399" s="2789" t="n"/>
      <c r="AU399" s="2944" t="n"/>
      <c r="AV399" s="2857">
        <f>' SET Cost(staf+OS)'!O529/1000</f>
        <v/>
      </c>
      <c r="AW399" s="2946" t="n"/>
      <c r="AX399" s="2789" t="n"/>
      <c r="AY399" s="2858" t="n"/>
      <c r="AZ399" s="2857">
        <f>SUM(C399:AW399)</f>
        <v/>
      </c>
      <c r="BA399" s="2858" t="n"/>
    </row>
    <row customFormat="1" hidden="1" outlineLevel="1" r="400" s="2216" spans="1:55">
      <c r="A400" s="2863" t="s">
        <v>233</v>
      </c>
      <c r="B400" s="2789" t="n"/>
      <c r="C400" s="2951" t="n"/>
      <c r="D400" s="2857">
        <f>' SET Cost(staf+OS)'!D530/1000</f>
        <v/>
      </c>
      <c r="E400" s="2944" t="n"/>
      <c r="F400" s="2945" t="n"/>
      <c r="G400" s="2944" t="n"/>
      <c r="H400" s="2857">
        <f>' SET Cost(staf+OS)'!E530/1000</f>
        <v/>
      </c>
      <c r="I400" s="2944" t="n"/>
      <c r="J400" s="2789" t="n"/>
      <c r="K400" s="2944" t="n"/>
      <c r="L400" s="2857">
        <f>' SET Cost(staf+OS)'!F530/1000</f>
        <v/>
      </c>
      <c r="M400" s="2944" t="n"/>
      <c r="N400" s="2799" t="n"/>
      <c r="O400" s="2944" t="n"/>
      <c r="P400" s="2857">
        <f>' SET Cost(staf+OS)'!G530/1000</f>
        <v/>
      </c>
      <c r="Q400" s="2944" t="n"/>
      <c r="R400" s="2789" t="n"/>
      <c r="S400" s="2944" t="n"/>
      <c r="T400" s="2857">
        <f>' SET Cost(staf+OS)'!H530/1000</f>
        <v/>
      </c>
      <c r="U400" s="2944" t="n"/>
      <c r="V400" s="2799" t="n"/>
      <c r="W400" s="2944" t="n"/>
      <c r="X400" s="2857">
        <f>' SET Cost(staf+OS)'!I530/1000</f>
        <v/>
      </c>
      <c r="Y400" s="2944" t="n"/>
      <c r="Z400" s="2799" t="n"/>
      <c r="AA400" s="2944" t="n"/>
      <c r="AB400" s="2857">
        <f>' SET Cost(staf+OS)'!J530/1000</f>
        <v/>
      </c>
      <c r="AC400" s="2944" t="n"/>
      <c r="AD400" s="2799" t="n"/>
      <c r="AE400" s="2944" t="n"/>
      <c r="AF400" s="2857">
        <f>' SET Cost(staf+OS)'!K530/1000</f>
        <v/>
      </c>
      <c r="AG400" s="2944" t="n"/>
      <c r="AH400" s="2799" t="n"/>
      <c r="AI400" s="2944" t="n"/>
      <c r="AJ400" s="2857">
        <f>' SET Cost(staf+OS)'!L530/1000</f>
        <v/>
      </c>
      <c r="AK400" s="2944" t="n"/>
      <c r="AL400" s="2789" t="n"/>
      <c r="AM400" s="2944" t="n"/>
      <c r="AN400" s="2857">
        <f>' SET Cost(staf+OS)'!M530/1000</f>
        <v/>
      </c>
      <c r="AO400" s="2944" t="n"/>
      <c r="AP400" s="2789" t="n"/>
      <c r="AQ400" s="2944" t="n"/>
      <c r="AR400" s="2857">
        <f>' SET Cost(staf+OS)'!N530/1000</f>
        <v/>
      </c>
      <c r="AS400" s="2944" t="n"/>
      <c r="AT400" s="2789" t="n"/>
      <c r="AU400" s="2944" t="n"/>
      <c r="AV400" s="2857">
        <f>' SET Cost(staf+OS)'!O530/1000</f>
        <v/>
      </c>
      <c r="AW400" s="2951" t="n"/>
      <c r="AX400" s="2789" t="n"/>
      <c r="AY400" s="2864" t="n"/>
      <c r="AZ400" s="2857">
        <f>SUM(C400:AW400)</f>
        <v/>
      </c>
      <c r="BA400" s="2864" t="n"/>
    </row>
    <row customFormat="1" hidden="1" outlineLevel="1" r="401" s="2216" spans="1:55">
      <c r="A401" s="2863" t="s">
        <v>368</v>
      </c>
      <c r="B401" s="2789" t="n"/>
      <c r="C401" s="2951" t="n"/>
      <c r="D401" s="2857">
        <f>' SET Cost(staf+OS)'!D531/1000</f>
        <v/>
      </c>
      <c r="E401" s="2944" t="n"/>
      <c r="F401" s="2945" t="n"/>
      <c r="G401" s="2944" t="n"/>
      <c r="H401" s="2857">
        <f>' SET Cost(staf+OS)'!E531/1000</f>
        <v/>
      </c>
      <c r="I401" s="2944" t="n"/>
      <c r="J401" s="2789" t="n"/>
      <c r="K401" s="2944" t="n"/>
      <c r="L401" s="2857">
        <f>' SET Cost(staf+OS)'!F531/1000</f>
        <v/>
      </c>
      <c r="M401" s="2944" t="n"/>
      <c r="N401" s="2799" t="n"/>
      <c r="O401" s="2944" t="n"/>
      <c r="P401" s="2857">
        <f>' SET Cost(staf+OS)'!G531/1000</f>
        <v/>
      </c>
      <c r="Q401" s="2944" t="n"/>
      <c r="R401" s="2789" t="n"/>
      <c r="S401" s="2944" t="n"/>
      <c r="T401" s="2857">
        <f>' SET Cost(staf+OS)'!H531/1000</f>
        <v/>
      </c>
      <c r="U401" s="2944" t="n"/>
      <c r="V401" s="2799" t="n"/>
      <c r="W401" s="2944" t="n"/>
      <c r="X401" s="2857">
        <f>' SET Cost(staf+OS)'!I531/1000</f>
        <v/>
      </c>
      <c r="Y401" s="2944" t="n"/>
      <c r="Z401" s="2799" t="n"/>
      <c r="AA401" s="2944" t="n"/>
      <c r="AB401" s="2857">
        <f>' SET Cost(staf+OS)'!J531/1000</f>
        <v/>
      </c>
      <c r="AC401" s="2944" t="n"/>
      <c r="AD401" s="2799" t="n"/>
      <c r="AE401" s="2944" t="n"/>
      <c r="AF401" s="2857">
        <f>' SET Cost(staf+OS)'!K531/1000</f>
        <v/>
      </c>
      <c r="AG401" s="2944" t="n"/>
      <c r="AH401" s="2799" t="n"/>
      <c r="AI401" s="2944" t="n"/>
      <c r="AJ401" s="2857">
        <f>' SET Cost(staf+OS)'!L531/1000</f>
        <v/>
      </c>
      <c r="AK401" s="2944" t="n"/>
      <c r="AL401" s="2789" t="n"/>
      <c r="AM401" s="2944" t="n"/>
      <c r="AN401" s="2857">
        <f>' SET Cost(staf+OS)'!M531/1000</f>
        <v/>
      </c>
      <c r="AO401" s="2944" t="n"/>
      <c r="AP401" s="2789" t="n"/>
      <c r="AQ401" s="2944" t="n"/>
      <c r="AR401" s="2857">
        <f>' SET Cost(staf+OS)'!N531/1000</f>
        <v/>
      </c>
      <c r="AS401" s="2944" t="n"/>
      <c r="AT401" s="2789" t="n"/>
      <c r="AU401" s="2944" t="n"/>
      <c r="AV401" s="2857">
        <f>' SET Cost(staf+OS)'!O531/1000</f>
        <v/>
      </c>
      <c r="AW401" s="2951" t="n"/>
      <c r="AX401" s="2789" t="n"/>
      <c r="AY401" s="2864" t="n"/>
      <c r="AZ401" s="2857">
        <f>SUM(C401:AW401)</f>
        <v/>
      </c>
      <c r="BA401" s="2864" t="n"/>
    </row>
    <row hidden="1" outlineLevel="1" r="402" s="1843" spans="1:55">
      <c r="A402" s="2860" t="s">
        <v>369</v>
      </c>
      <c r="B402" s="2789" t="n"/>
      <c r="C402" s="2944" t="n"/>
      <c r="D402" s="2857">
        <f>' SET Cost(staf+OS)'!D532/1000</f>
        <v/>
      </c>
      <c r="E402" s="2944" t="n"/>
      <c r="F402" s="2945" t="n"/>
      <c r="G402" s="2944" t="n"/>
      <c r="H402" s="2857">
        <f>' SET Cost(staf+OS)'!E532/1000</f>
        <v/>
      </c>
      <c r="I402" s="2944" t="n"/>
      <c r="J402" s="2789" t="n"/>
      <c r="K402" s="2944" t="n"/>
      <c r="L402" s="2857">
        <f>' SET Cost(staf+OS)'!F532/1000</f>
        <v/>
      </c>
      <c r="M402" s="2944" t="n"/>
      <c r="N402" s="2799" t="n"/>
      <c r="O402" s="2944" t="n"/>
      <c r="P402" s="2857">
        <f>' SET Cost(staf+OS)'!G532/1000</f>
        <v/>
      </c>
      <c r="Q402" s="2944" t="n"/>
      <c r="R402" s="2789" t="n"/>
      <c r="S402" s="2944" t="n"/>
      <c r="T402" s="2857">
        <f>' SET Cost(staf+OS)'!H532/1000</f>
        <v/>
      </c>
      <c r="U402" s="2944" t="n"/>
      <c r="V402" s="2799" t="n"/>
      <c r="W402" s="2944" t="n"/>
      <c r="X402" s="2857">
        <f>' SET Cost(staf+OS)'!I532/1000</f>
        <v/>
      </c>
      <c r="Y402" s="2944" t="n"/>
      <c r="Z402" s="2799" t="n"/>
      <c r="AA402" s="2944" t="n"/>
      <c r="AB402" s="2857">
        <f>' SET Cost(staf+OS)'!J532/1000</f>
        <v/>
      </c>
      <c r="AC402" s="2944" t="n"/>
      <c r="AD402" s="2799" t="n"/>
      <c r="AE402" s="2944" t="n"/>
      <c r="AF402" s="2857">
        <f>' SET Cost(staf+OS)'!K532/1000</f>
        <v/>
      </c>
      <c r="AG402" s="2944" t="n"/>
      <c r="AH402" s="2799" t="n"/>
      <c r="AI402" s="2944" t="n"/>
      <c r="AJ402" s="2857">
        <f>' SET Cost(staf+OS)'!L532/1000</f>
        <v/>
      </c>
      <c r="AK402" s="2944" t="n"/>
      <c r="AL402" s="2789" t="n"/>
      <c r="AM402" s="2944" t="n"/>
      <c r="AN402" s="2857">
        <f>' SET Cost(staf+OS)'!M532/1000</f>
        <v/>
      </c>
      <c r="AO402" s="2944" t="n"/>
      <c r="AP402" s="2789" t="n"/>
      <c r="AQ402" s="2944" t="n"/>
      <c r="AR402" s="2857">
        <f>' SET Cost(staf+OS)'!N532/1000</f>
        <v/>
      </c>
      <c r="AS402" s="2944" t="n"/>
      <c r="AT402" s="2789" t="n"/>
      <c r="AU402" s="2944" t="n"/>
      <c r="AV402" s="2857">
        <f>' SET Cost(staf+OS)'!O532/1000</f>
        <v/>
      </c>
      <c r="AW402" s="2944" t="n"/>
      <c r="AX402" s="2789" t="n"/>
      <c r="AY402" s="2857" t="n"/>
      <c r="AZ402" s="2857">
        <f>SUM(C402:AW402)</f>
        <v/>
      </c>
      <c r="BA402" s="2857" t="n"/>
    </row>
    <row hidden="1" outlineLevel="1" r="403" s="1843" spans="1:55">
      <c r="A403" s="2859" t="s">
        <v>370</v>
      </c>
      <c r="B403" s="2789" t="n"/>
      <c r="C403" s="2946" t="n"/>
      <c r="D403" s="2857">
        <f>' SET Cost(staf+OS)'!D533/1000</f>
        <v/>
      </c>
      <c r="E403" s="2944" t="n"/>
      <c r="F403" s="2945" t="n"/>
      <c r="G403" s="2944" t="n"/>
      <c r="H403" s="2857">
        <f>' SET Cost(staf+OS)'!E533/1000</f>
        <v/>
      </c>
      <c r="I403" s="2944" t="n"/>
      <c r="J403" s="2789" t="n"/>
      <c r="K403" s="2944" t="n"/>
      <c r="L403" s="2857">
        <f>' SET Cost(staf+OS)'!F533/1000</f>
        <v/>
      </c>
      <c r="M403" s="2944" t="n"/>
      <c r="N403" s="2799" t="n"/>
      <c r="O403" s="2944" t="n"/>
      <c r="P403" s="2857">
        <f>' SET Cost(staf+OS)'!G533/1000</f>
        <v/>
      </c>
      <c r="Q403" s="2944" t="n"/>
      <c r="R403" s="2789" t="n"/>
      <c r="S403" s="2944" t="n"/>
      <c r="T403" s="2857">
        <f>' SET Cost(staf+OS)'!H533/1000</f>
        <v/>
      </c>
      <c r="U403" s="2944" t="n"/>
      <c r="V403" s="2799" t="n"/>
      <c r="W403" s="2944" t="n"/>
      <c r="X403" s="2857">
        <f>' SET Cost(staf+OS)'!I533/1000</f>
        <v/>
      </c>
      <c r="Y403" s="2944" t="n"/>
      <c r="Z403" s="2799" t="n"/>
      <c r="AA403" s="2944" t="n"/>
      <c r="AB403" s="2857">
        <f>' SET Cost(staf+OS)'!J533/1000</f>
        <v/>
      </c>
      <c r="AC403" s="2944" t="n"/>
      <c r="AD403" s="2799" t="n"/>
      <c r="AE403" s="2944" t="n"/>
      <c r="AF403" s="2857">
        <f>' SET Cost(staf+OS)'!K533/1000</f>
        <v/>
      </c>
      <c r="AG403" s="2944" t="n"/>
      <c r="AH403" s="2799" t="n"/>
      <c r="AI403" s="2944" t="n"/>
      <c r="AJ403" s="2857">
        <f>' SET Cost(staf+OS)'!L533/1000</f>
        <v/>
      </c>
      <c r="AK403" s="2944" t="n"/>
      <c r="AL403" s="2789" t="n"/>
      <c r="AM403" s="2944" t="n"/>
      <c r="AN403" s="2857">
        <f>' SET Cost(staf+OS)'!M533/1000</f>
        <v/>
      </c>
      <c r="AO403" s="2944" t="n"/>
      <c r="AP403" s="2789" t="n"/>
      <c r="AQ403" s="2944" t="n"/>
      <c r="AR403" s="2857">
        <f>' SET Cost(staf+OS)'!N533/1000</f>
        <v/>
      </c>
      <c r="AS403" s="2944" t="n"/>
      <c r="AT403" s="2789" t="n"/>
      <c r="AU403" s="2944" t="n"/>
      <c r="AV403" s="2857">
        <f>' SET Cost(staf+OS)'!O533/1000</f>
        <v/>
      </c>
      <c r="AW403" s="2946" t="n"/>
      <c r="AX403" s="2789" t="n"/>
      <c r="AY403" s="2858" t="n"/>
      <c r="AZ403" s="2857">
        <f>SUM(C403:AW403)</f>
        <v/>
      </c>
      <c r="BA403" s="2858" t="n"/>
    </row>
    <row customFormat="1" hidden="1" outlineLevel="1" r="404" s="2216" spans="1:55">
      <c r="A404" s="2863" t="s">
        <v>371</v>
      </c>
      <c r="B404" s="2789" t="n"/>
      <c r="C404" s="2951" t="n"/>
      <c r="D404" s="2857">
        <f>' SET Cost(staf+OS)'!D534/1000</f>
        <v/>
      </c>
      <c r="E404" s="2944" t="n"/>
      <c r="F404" s="2945" t="n"/>
      <c r="G404" s="2944" t="n"/>
      <c r="H404" s="2857">
        <f>' SET Cost(staf+OS)'!E534/1000</f>
        <v/>
      </c>
      <c r="I404" s="2944" t="n"/>
      <c r="J404" s="2789" t="n"/>
      <c r="K404" s="2944" t="n"/>
      <c r="L404" s="2857">
        <f>' SET Cost(staf+OS)'!F534/1000</f>
        <v/>
      </c>
      <c r="M404" s="2944" t="n"/>
      <c r="N404" s="2799" t="n"/>
      <c r="O404" s="2944" t="n"/>
      <c r="P404" s="2857">
        <f>' SET Cost(staf+OS)'!G534/1000</f>
        <v/>
      </c>
      <c r="Q404" s="2944" t="n"/>
      <c r="R404" s="2789" t="n"/>
      <c r="S404" s="2944" t="n"/>
      <c r="T404" s="2857">
        <f>' SET Cost(staf+OS)'!H534/1000</f>
        <v/>
      </c>
      <c r="U404" s="2944" t="n"/>
      <c r="V404" s="2799" t="n"/>
      <c r="W404" s="2944" t="n"/>
      <c r="X404" s="2857">
        <f>' SET Cost(staf+OS)'!I534/1000</f>
        <v/>
      </c>
      <c r="Y404" s="2944" t="n"/>
      <c r="Z404" s="2799" t="n"/>
      <c r="AA404" s="2944" t="n"/>
      <c r="AB404" s="2857">
        <f>' SET Cost(staf+OS)'!J534/1000</f>
        <v/>
      </c>
      <c r="AC404" s="2944" t="n"/>
      <c r="AD404" s="2799" t="n"/>
      <c r="AE404" s="2944" t="n"/>
      <c r="AF404" s="2857">
        <f>' SET Cost(staf+OS)'!K534/1000</f>
        <v/>
      </c>
      <c r="AG404" s="2944" t="n"/>
      <c r="AH404" s="2799" t="n"/>
      <c r="AI404" s="2944" t="n"/>
      <c r="AJ404" s="2857">
        <f>' SET Cost(staf+OS)'!L534/1000</f>
        <v/>
      </c>
      <c r="AK404" s="2944" t="n"/>
      <c r="AL404" s="2789" t="n"/>
      <c r="AM404" s="2944" t="n"/>
      <c r="AN404" s="2857">
        <f>' SET Cost(staf+OS)'!M534/1000</f>
        <v/>
      </c>
      <c r="AO404" s="2944" t="n"/>
      <c r="AP404" s="2789" t="n"/>
      <c r="AQ404" s="2944" t="n"/>
      <c r="AR404" s="2857">
        <f>' SET Cost(staf+OS)'!N534/1000</f>
        <v/>
      </c>
      <c r="AS404" s="2944" t="n"/>
      <c r="AT404" s="2789" t="n"/>
      <c r="AU404" s="2944" t="n"/>
      <c r="AV404" s="2857">
        <f>' SET Cost(staf+OS)'!O534/1000</f>
        <v/>
      </c>
      <c r="AW404" s="2946" t="n"/>
      <c r="AX404" s="2789" t="n"/>
      <c r="AY404" s="2858" t="n"/>
      <c r="AZ404" s="2857">
        <f>SUM(C404:AW404)</f>
        <v/>
      </c>
      <c r="BA404" s="2864" t="n"/>
    </row>
    <row hidden="1" outlineLevel="1" r="405" s="1843" spans="1:55">
      <c r="A405" s="2859" t="s">
        <v>372</v>
      </c>
      <c r="B405" s="2789" t="n"/>
      <c r="C405" s="2946" t="n"/>
      <c r="D405" s="2857">
        <f>' SET Cost(staf+OS)'!D535/1000</f>
        <v/>
      </c>
      <c r="E405" s="2944" t="n"/>
      <c r="F405" s="2945" t="n"/>
      <c r="G405" s="2944" t="n"/>
      <c r="H405" s="2857">
        <f>' SET Cost(staf+OS)'!E535/1000</f>
        <v/>
      </c>
      <c r="I405" s="2944" t="n"/>
      <c r="J405" s="2789" t="n"/>
      <c r="K405" s="2944" t="n"/>
      <c r="L405" s="2857">
        <f>' SET Cost(staf+OS)'!F535/1000</f>
        <v/>
      </c>
      <c r="M405" s="2944" t="n"/>
      <c r="N405" s="2799" t="n"/>
      <c r="O405" s="2944" t="n"/>
      <c r="P405" s="2857">
        <f>' SET Cost(staf+OS)'!G535/1000</f>
        <v/>
      </c>
      <c r="Q405" s="2944" t="n"/>
      <c r="R405" s="2789" t="n"/>
      <c r="S405" s="2944" t="n"/>
      <c r="T405" s="2857">
        <f>' SET Cost(staf+OS)'!H535/1000</f>
        <v/>
      </c>
      <c r="U405" s="2944" t="n"/>
      <c r="V405" s="2799" t="n"/>
      <c r="W405" s="2944" t="n"/>
      <c r="X405" s="2857">
        <f>' SET Cost(staf+OS)'!I535/1000</f>
        <v/>
      </c>
      <c r="Y405" s="2944" t="n"/>
      <c r="Z405" s="2799" t="n"/>
      <c r="AA405" s="2944" t="n"/>
      <c r="AB405" s="2857">
        <f>' SET Cost(staf+OS)'!J535/1000</f>
        <v/>
      </c>
      <c r="AC405" s="2944" t="n"/>
      <c r="AD405" s="2799" t="n"/>
      <c r="AE405" s="2944" t="n"/>
      <c r="AF405" s="2857">
        <f>' SET Cost(staf+OS)'!K535/1000</f>
        <v/>
      </c>
      <c r="AG405" s="2944" t="n"/>
      <c r="AH405" s="2799" t="n"/>
      <c r="AI405" s="2944" t="n"/>
      <c r="AJ405" s="2857">
        <f>' SET Cost(staf+OS)'!L535/1000</f>
        <v/>
      </c>
      <c r="AK405" s="2944" t="n"/>
      <c r="AL405" s="2789" t="n"/>
      <c r="AM405" s="2944" t="n"/>
      <c r="AN405" s="2857">
        <f>' SET Cost(staf+OS)'!M535/1000</f>
        <v/>
      </c>
      <c r="AO405" s="2944" t="n"/>
      <c r="AP405" s="2789" t="n"/>
      <c r="AQ405" s="2944" t="n"/>
      <c r="AR405" s="2857">
        <f>' SET Cost(staf+OS)'!N535/1000</f>
        <v/>
      </c>
      <c r="AS405" s="2944" t="n"/>
      <c r="AT405" s="2789" t="n"/>
      <c r="AU405" s="2944" t="n"/>
      <c r="AV405" s="2857">
        <f>' SET Cost(staf+OS)'!O535/1000</f>
        <v/>
      </c>
      <c r="AW405" s="2946" t="n"/>
      <c r="AX405" s="2789" t="n"/>
      <c r="AY405" s="2858" t="n"/>
      <c r="AZ405" s="2857">
        <f>SUM(C405:AW405)</f>
        <v/>
      </c>
      <c r="BA405" s="2858" t="n"/>
    </row>
    <row hidden="1" outlineLevel="1" r="406" s="1843" spans="1:55">
      <c r="A406" s="2860" t="s">
        <v>89</v>
      </c>
      <c r="B406" s="2789" t="n"/>
      <c r="C406" s="2857">
        <f>SUM('FY18 SET'!G47,'FY18 SET'!G55)/1000</f>
        <v/>
      </c>
      <c r="D406" s="2944" t="n"/>
      <c r="E406" s="2944" t="n"/>
      <c r="F406" s="2945" t="n"/>
      <c r="G406" s="2857">
        <f>SUM('FY18 SET'!H47,'FY18 SET'!H55)/1000</f>
        <v/>
      </c>
      <c r="H406" s="2944" t="n"/>
      <c r="I406" s="2944" t="n"/>
      <c r="J406" s="2789" t="n"/>
      <c r="K406" s="2857">
        <f>SUM('FY18 SET'!I47,'FY18 SET'!I55)/1000</f>
        <v/>
      </c>
      <c r="L406" s="2944" t="n"/>
      <c r="M406" s="2944" t="n"/>
      <c r="N406" s="2799" t="n"/>
      <c r="O406" s="2857">
        <f>SUM('FY18 SET'!J47,'FY18 SET'!J55)/1000</f>
        <v/>
      </c>
      <c r="P406" s="2944" t="n"/>
      <c r="Q406" s="2944" t="n"/>
      <c r="R406" s="2789" t="n"/>
      <c r="S406" s="2857">
        <f>SUM('FY18 SET'!K47,'FY18 SET'!K55)/1000</f>
        <v/>
      </c>
      <c r="T406" s="2944" t="n"/>
      <c r="U406" s="2944" t="n"/>
      <c r="V406" s="2799" t="n"/>
      <c r="W406" s="2857">
        <f>SUM('FY18 SET'!L47,'FY18 SET'!L55)/1000</f>
        <v/>
      </c>
      <c r="X406" s="2944" t="n"/>
      <c r="Y406" s="2944" t="n"/>
      <c r="Z406" s="2799" t="n"/>
      <c r="AA406" s="2857">
        <f>SUM('FY18 SET'!N47,'FY18 SET'!N55)/1000</f>
        <v/>
      </c>
      <c r="AB406" s="2944" t="n"/>
      <c r="AC406" s="2944" t="n"/>
      <c r="AD406" s="2799" t="n"/>
      <c r="AE406" s="2857">
        <f>SUM('FY18 SET'!O47,'FY18 SET'!O55)/1000</f>
        <v/>
      </c>
      <c r="AF406" s="2944" t="n"/>
      <c r="AG406" s="2944" t="n"/>
      <c r="AH406" s="2799" t="n"/>
      <c r="AI406" s="2857">
        <f>SUM('FY18 SET'!P47,'FY18 SET'!P55)/1000</f>
        <v/>
      </c>
      <c r="AJ406" s="2944" t="n"/>
      <c r="AK406" s="2944" t="n"/>
      <c r="AL406" s="2789" t="n"/>
      <c r="AM406" s="2857">
        <f>SUM('FY18 SET'!Q47,'FY18 SET'!Q55)/1000</f>
        <v/>
      </c>
      <c r="AN406" s="2944" t="n"/>
      <c r="AO406" s="2944" t="n"/>
      <c r="AP406" s="2789" t="n"/>
      <c r="AQ406" s="2857">
        <f>SUM('FY18 SET'!R47,'FY18 SET'!R55)/1000</f>
        <v/>
      </c>
      <c r="AR406" s="2944" t="n"/>
      <c r="AS406" s="2944" t="n"/>
      <c r="AT406" s="2789" t="n"/>
      <c r="AU406" s="2857">
        <f>SUM('FY18 SET'!S47,'FY18 SET'!S55)/1000</f>
        <v/>
      </c>
      <c r="AV406" s="2944" t="n"/>
      <c r="AW406" s="2944" t="n"/>
      <c r="AX406" s="2789" t="n"/>
      <c r="AY406" s="2857">
        <f>SUM(B406:AV406)</f>
        <v/>
      </c>
      <c r="AZ406" s="2857" t="n"/>
      <c r="BA406" s="2857" t="n"/>
    </row>
    <row hidden="1" outlineLevel="1" r="407" s="1843" spans="1:55">
      <c r="A407" s="2860" t="s">
        <v>153</v>
      </c>
      <c r="B407" s="2789" t="n"/>
      <c r="C407" s="2857" t="n"/>
      <c r="D407" s="2857" t="n"/>
      <c r="E407" s="2857">
        <f>SUM(C389:C407)-SUM(D389:D407)</f>
        <v/>
      </c>
      <c r="F407" s="2945" t="n"/>
      <c r="G407" s="2857" t="n"/>
      <c r="H407" s="2857" t="n"/>
      <c r="I407" s="2857">
        <f>SUM(G389:G407)-SUM(H389:H407)</f>
        <v/>
      </c>
      <c r="J407" s="2789" t="n"/>
      <c r="K407" s="2857" t="n"/>
      <c r="L407" s="2857" t="n"/>
      <c r="M407" s="2857">
        <f>SUM(K389:K407)-SUM(L389:L407)</f>
        <v/>
      </c>
      <c r="N407" s="2799" t="n"/>
      <c r="O407" s="2857" t="n"/>
      <c r="P407" s="2857" t="n"/>
      <c r="Q407" s="2857">
        <f>SUM(O389:O407)-SUM(P389:P407)</f>
        <v/>
      </c>
      <c r="R407" s="2789" t="n"/>
      <c r="S407" s="2857" t="n"/>
      <c r="T407" s="2857" t="n"/>
      <c r="U407" s="2857">
        <f>SUM(S389:S407)-SUM(T389:T407)</f>
        <v/>
      </c>
      <c r="V407" s="2799" t="n"/>
      <c r="W407" s="2857" t="n"/>
      <c r="X407" s="2857" t="n"/>
      <c r="Y407" s="2857">
        <f>SUM(W389:W407)-SUM(X389:X407)</f>
        <v/>
      </c>
      <c r="Z407" s="2799" t="n"/>
      <c r="AA407" s="2857" t="n"/>
      <c r="AB407" s="2857" t="n"/>
      <c r="AC407" s="2857">
        <f>SUM(AA389:AA407)-SUM(AB389:AB407)</f>
        <v/>
      </c>
      <c r="AD407" s="2799" t="n"/>
      <c r="AE407" s="2857" t="n"/>
      <c r="AF407" s="2857" t="n"/>
      <c r="AG407" s="2857">
        <f>SUM(AE389:AE407)-SUM(AF389:AF407)</f>
        <v/>
      </c>
      <c r="AH407" s="2799" t="n"/>
      <c r="AI407" s="2857" t="n"/>
      <c r="AJ407" s="2857" t="n"/>
      <c r="AK407" s="2857">
        <f>SUM(AI389:AI407)-SUM(AJ389:AJ407)</f>
        <v/>
      </c>
      <c r="AL407" s="2789" t="n"/>
      <c r="AM407" s="2857" t="n"/>
      <c r="AN407" s="2857" t="n"/>
      <c r="AO407" s="2857">
        <f>SUM(AM389:AM407)-SUM(AN389:AN407)</f>
        <v/>
      </c>
      <c r="AP407" s="2789" t="n"/>
      <c r="AQ407" s="2857" t="n"/>
      <c r="AR407" s="2857" t="n"/>
      <c r="AS407" s="2857">
        <f>SUM(AQ389:AQ407)-SUM(AR389:AR407)</f>
        <v/>
      </c>
      <c r="AT407" s="2789" t="n"/>
      <c r="AU407" s="2857" t="n"/>
      <c r="AV407" s="2857" t="n"/>
      <c r="AW407" s="2857">
        <f>SUM(AU389:AU407)-SUM(AV389:AV407)</f>
        <v/>
      </c>
      <c r="AX407" s="2789" t="n"/>
      <c r="AY407" s="2857" t="n"/>
      <c r="AZ407" s="2857" t="n"/>
      <c r="BA407" s="2857">
        <f>SUM(D407:AY407)</f>
        <v/>
      </c>
    </row>
    <row hidden="1" outlineLevel="1" r="408" s="1843" spans="1:55">
      <c r="A408" s="2952" t="s">
        <v>173</v>
      </c>
      <c r="B408" s="2806" t="n"/>
      <c r="C408" s="2953">
        <f>SUM(C389:C407)</f>
        <v/>
      </c>
      <c r="D408" s="2953">
        <f>SUM(D389:D407)</f>
        <v/>
      </c>
      <c r="E408" s="2953">
        <f>SUM(E407:E407)</f>
        <v/>
      </c>
      <c r="F408" s="2954" t="n"/>
      <c r="G408" s="2953">
        <f>SUM(G389:G407)</f>
        <v/>
      </c>
      <c r="H408" s="2953">
        <f>SUM(H389:H407)</f>
        <v/>
      </c>
      <c r="I408" s="2953">
        <f>SUM(I407:I407)</f>
        <v/>
      </c>
      <c r="J408" s="2806" t="n"/>
      <c r="K408" s="2953">
        <f>SUM(K389:K407)</f>
        <v/>
      </c>
      <c r="L408" s="2953">
        <f>SUM(L389:L407)</f>
        <v/>
      </c>
      <c r="M408" s="2953">
        <f>SUM(M407:M407)</f>
        <v/>
      </c>
      <c r="N408" s="2802" t="n"/>
      <c r="O408" s="2953">
        <f>SUM(O389:O407)</f>
        <v/>
      </c>
      <c r="P408" s="2953">
        <f>SUM(P389:P407)</f>
        <v/>
      </c>
      <c r="Q408" s="2953">
        <f>SUM(Q407:Q407)</f>
        <v/>
      </c>
      <c r="R408" s="2806" t="n"/>
      <c r="S408" s="2953">
        <f>SUM(S389:S407)</f>
        <v/>
      </c>
      <c r="T408" s="2953">
        <f>SUM(T389:T407)</f>
        <v/>
      </c>
      <c r="U408" s="2953">
        <f>SUM(U407:U407)</f>
        <v/>
      </c>
      <c r="V408" s="2802" t="n"/>
      <c r="W408" s="2953">
        <f>SUM(W389:W407)</f>
        <v/>
      </c>
      <c r="X408" s="2953">
        <f>SUM(X389:X407)</f>
        <v/>
      </c>
      <c r="Y408" s="2953">
        <f>SUM(Y407:Y407)</f>
        <v/>
      </c>
      <c r="Z408" s="2802" t="n"/>
      <c r="AA408" s="2953">
        <f>SUM(AA389:AA407)</f>
        <v/>
      </c>
      <c r="AB408" s="2953">
        <f>SUM(AB389:AB407)</f>
        <v/>
      </c>
      <c r="AC408" s="2953">
        <f>SUM(AC407:AC407)</f>
        <v/>
      </c>
      <c r="AD408" s="2802" t="n"/>
      <c r="AE408" s="2953">
        <f>SUM(AE389:AE407)</f>
        <v/>
      </c>
      <c r="AF408" s="2953">
        <f>SUM(AF389:AF407)</f>
        <v/>
      </c>
      <c r="AG408" s="2953">
        <f>SUM(AG407:AG407)</f>
        <v/>
      </c>
      <c r="AH408" s="2802" t="n"/>
      <c r="AI408" s="2953">
        <f>SUM(AI389:AI407)</f>
        <v/>
      </c>
      <c r="AJ408" s="2953">
        <f>SUM(AJ389:AJ407)</f>
        <v/>
      </c>
      <c r="AK408" s="2953">
        <f>SUM(AK407:AK407)</f>
        <v/>
      </c>
      <c r="AL408" s="2806" t="n"/>
      <c r="AM408" s="2953">
        <f>SUM(AM389:AM407)</f>
        <v/>
      </c>
      <c r="AN408" s="2953">
        <f>SUM(AN389:AN407)</f>
        <v/>
      </c>
      <c r="AO408" s="2953">
        <f>SUM(AO407:AO407)</f>
        <v/>
      </c>
      <c r="AP408" s="2806" t="n"/>
      <c r="AQ408" s="2953">
        <f>SUM(AQ389:AQ407)</f>
        <v/>
      </c>
      <c r="AR408" s="2953">
        <f>SUM(AR389:AR407)</f>
        <v/>
      </c>
      <c r="AS408" s="2953">
        <f>SUM(AS407:AS407)</f>
        <v/>
      </c>
      <c r="AT408" s="2806" t="n"/>
      <c r="AU408" s="2953">
        <f>SUM(AU389:AU407)</f>
        <v/>
      </c>
      <c r="AV408" s="2953">
        <f>SUM(AV389:AV407)</f>
        <v/>
      </c>
      <c r="AW408" s="2953">
        <f>SUM(AW407:AW407)</f>
        <v/>
      </c>
      <c r="AX408" s="2806" t="n"/>
      <c r="AY408" s="2952">
        <f>SUM(AY389:AY407)</f>
        <v/>
      </c>
      <c r="AZ408" s="2857">
        <f>SUM(AZ389:AZ407)</f>
        <v/>
      </c>
      <c r="BA408" s="2952">
        <f>SUM(BA407:BA407)</f>
        <v/>
      </c>
    </row>
    <row hidden="1" outlineLevel="1" r="409" s="1843" spans="1:55">
      <c r="A409" s="2952" t="s">
        <v>393</v>
      </c>
      <c r="B409" s="2806" t="n"/>
      <c r="C409" s="2955" t="n"/>
      <c r="D409" s="2953" t="n"/>
      <c r="E409" s="2956">
        <f>E408/C408</f>
        <v/>
      </c>
      <c r="F409" s="2954" t="n"/>
      <c r="G409" s="2955" t="n"/>
      <c r="H409" s="2953" t="n"/>
      <c r="I409" s="2956">
        <f>I408/G408</f>
        <v/>
      </c>
      <c r="J409" s="2806" t="n"/>
      <c r="K409" s="2955" t="n"/>
      <c r="L409" s="2953" t="n"/>
      <c r="M409" s="2956">
        <f>M408/K408</f>
        <v/>
      </c>
      <c r="N409" s="2808" t="n"/>
      <c r="O409" s="2955" t="n"/>
      <c r="P409" s="2953" t="n"/>
      <c r="Q409" s="2956">
        <f>Q408/O408</f>
        <v/>
      </c>
      <c r="R409" s="2806" t="n"/>
      <c r="S409" s="2955" t="n"/>
      <c r="T409" s="2953" t="n"/>
      <c r="U409" s="2956">
        <f>U408/S408</f>
        <v/>
      </c>
      <c r="V409" s="2808" t="n"/>
      <c r="W409" s="2955" t="n"/>
      <c r="X409" s="2953" t="n"/>
      <c r="Y409" s="2956">
        <f>Y408/W408</f>
        <v/>
      </c>
      <c r="Z409" s="2808" t="n"/>
      <c r="AA409" s="2955" t="n"/>
      <c r="AB409" s="2953" t="n"/>
      <c r="AC409" s="2956">
        <f>AC408/AA408</f>
        <v/>
      </c>
      <c r="AD409" s="2808" t="n"/>
      <c r="AE409" s="2955" t="n"/>
      <c r="AF409" s="2953" t="n"/>
      <c r="AG409" s="2956">
        <f>AG408/AE408</f>
        <v/>
      </c>
      <c r="AH409" s="2808" t="n"/>
      <c r="AI409" s="2955" t="n"/>
      <c r="AJ409" s="2953" t="n"/>
      <c r="AK409" s="2956">
        <f>AK408/AI408</f>
        <v/>
      </c>
      <c r="AL409" s="2806" t="n"/>
      <c r="AM409" s="2955" t="n"/>
      <c r="AN409" s="2953" t="n"/>
      <c r="AO409" s="2956">
        <f>AO408/AM408</f>
        <v/>
      </c>
      <c r="AP409" s="2806" t="n"/>
      <c r="AQ409" s="2955" t="n"/>
      <c r="AR409" s="2953" t="n"/>
      <c r="AS409" s="2956">
        <f>AS408/AQ408</f>
        <v/>
      </c>
      <c r="AT409" s="2806" t="n"/>
      <c r="AU409" s="2955" t="n"/>
      <c r="AV409" s="2953" t="n"/>
      <c r="AW409" s="2956">
        <f>AW408/AU408</f>
        <v/>
      </c>
      <c r="AX409" s="2806" t="n"/>
      <c r="AY409" s="2952" t="n"/>
      <c r="AZ409" s="2857" t="n"/>
      <c r="BA409" s="2956">
        <f>BA408/AY408</f>
        <v/>
      </c>
    </row>
    <row hidden="1" outlineLevel="1" r="410" s="1843" spans="1:55">
      <c r="N410" s="2799" t="n"/>
      <c r="V410" s="2799" t="n"/>
      <c r="Z410" s="2799" t="n"/>
      <c r="AD410" s="2799" t="n"/>
      <c r="AH410" s="2799" t="n"/>
      <c r="AP410" s="2216" t="n"/>
    </row>
    <row hidden="1" outlineLevel="1" r="411" s="1843" spans="1:55">
      <c r="A411" s="2854" t="s">
        <v>124</v>
      </c>
      <c r="B411" s="2781" t="n"/>
      <c r="C411" s="2943" t="s">
        <v>62</v>
      </c>
      <c r="F411" s="2781" t="n"/>
      <c r="G411" s="2943" t="s">
        <v>63</v>
      </c>
      <c r="J411" s="2781" t="n"/>
      <c r="K411" s="2943" t="s">
        <v>64</v>
      </c>
      <c r="N411" s="2799" t="n"/>
      <c r="O411" s="2943" t="s">
        <v>174</v>
      </c>
      <c r="R411" s="2781" t="n"/>
      <c r="S411" s="2943" t="s">
        <v>66</v>
      </c>
      <c r="V411" s="2799" t="n"/>
      <c r="W411" s="2943" t="s">
        <v>67</v>
      </c>
      <c r="Z411" s="2799" t="n"/>
      <c r="AA411" s="2943" t="s">
        <v>69</v>
      </c>
      <c r="AD411" s="2799" t="n"/>
      <c r="AE411" s="2943" t="s">
        <v>70</v>
      </c>
      <c r="AH411" s="2799" t="n"/>
      <c r="AI411" s="2943" t="s">
        <v>71</v>
      </c>
      <c r="AL411" s="2781" t="n"/>
      <c r="AM411" s="2943" t="s">
        <v>72</v>
      </c>
      <c r="AP411" s="2781" t="n"/>
      <c r="AQ411" s="2943" t="s">
        <v>73</v>
      </c>
      <c r="AT411" s="2781" t="n"/>
      <c r="AU411" s="2943" t="s">
        <v>74</v>
      </c>
      <c r="AX411" s="2781" t="n"/>
      <c r="AY411" s="2943" t="s">
        <v>173</v>
      </c>
    </row>
    <row hidden="1" outlineLevel="1" r="412" s="1843" spans="1:55">
      <c r="A412" s="2856" t="n"/>
      <c r="B412" s="2785" t="n"/>
      <c r="C412" s="2856" t="s">
        <v>89</v>
      </c>
      <c r="D412" s="2856" t="s">
        <v>152</v>
      </c>
      <c r="E412" s="2856" t="s">
        <v>153</v>
      </c>
      <c r="F412" s="2785" t="n"/>
      <c r="G412" s="2856" t="s">
        <v>89</v>
      </c>
      <c r="H412" s="2856" t="s">
        <v>152</v>
      </c>
      <c r="I412" s="2856" t="s">
        <v>153</v>
      </c>
      <c r="J412" s="2785" t="n"/>
      <c r="K412" s="2856" t="s">
        <v>89</v>
      </c>
      <c r="L412" s="2856" t="s">
        <v>152</v>
      </c>
      <c r="M412" s="2856" t="s">
        <v>153</v>
      </c>
      <c r="N412" s="2799" t="n"/>
      <c r="O412" s="2856" t="s">
        <v>89</v>
      </c>
      <c r="P412" s="2856" t="s">
        <v>152</v>
      </c>
      <c r="Q412" s="2856" t="s">
        <v>153</v>
      </c>
      <c r="R412" s="2785" t="n"/>
      <c r="S412" s="2856" t="s">
        <v>89</v>
      </c>
      <c r="T412" s="2856" t="s">
        <v>152</v>
      </c>
      <c r="U412" s="2856" t="s">
        <v>153</v>
      </c>
      <c r="V412" s="2799" t="n"/>
      <c r="W412" s="2856" t="s">
        <v>89</v>
      </c>
      <c r="X412" s="2856" t="s">
        <v>152</v>
      </c>
      <c r="Y412" s="2856" t="s">
        <v>153</v>
      </c>
      <c r="Z412" s="2799" t="n"/>
      <c r="AA412" s="2856" t="s">
        <v>89</v>
      </c>
      <c r="AB412" s="2856" t="s">
        <v>152</v>
      </c>
      <c r="AC412" s="2856" t="s">
        <v>153</v>
      </c>
      <c r="AD412" s="2799" t="n"/>
      <c r="AE412" s="2856" t="s">
        <v>89</v>
      </c>
      <c r="AF412" s="2856" t="s">
        <v>152</v>
      </c>
      <c r="AG412" s="2856" t="s">
        <v>153</v>
      </c>
      <c r="AH412" s="2799" t="n"/>
      <c r="AI412" s="2856" t="s">
        <v>89</v>
      </c>
      <c r="AJ412" s="2856" t="s">
        <v>152</v>
      </c>
      <c r="AK412" s="2856" t="s">
        <v>153</v>
      </c>
      <c r="AL412" s="2785" t="n"/>
      <c r="AM412" s="2856" t="s">
        <v>89</v>
      </c>
      <c r="AN412" s="2856" t="s">
        <v>152</v>
      </c>
      <c r="AO412" s="2856" t="s">
        <v>153</v>
      </c>
      <c r="AP412" s="2785" t="n"/>
      <c r="AQ412" s="2856" t="s">
        <v>89</v>
      </c>
      <c r="AR412" s="2856" t="s">
        <v>152</v>
      </c>
      <c r="AS412" s="2856" t="s">
        <v>153</v>
      </c>
      <c r="AT412" s="2785" t="n"/>
      <c r="AU412" s="2856" t="s">
        <v>89</v>
      </c>
      <c r="AV412" s="2856" t="s">
        <v>152</v>
      </c>
      <c r="AW412" s="2856" t="s">
        <v>153</v>
      </c>
      <c r="AX412" s="2785" t="n"/>
      <c r="AY412" s="2856" t="s">
        <v>89</v>
      </c>
      <c r="AZ412" s="2856" t="s">
        <v>152</v>
      </c>
      <c r="BA412" s="2856" t="s">
        <v>153</v>
      </c>
    </row>
    <row hidden="1" outlineLevel="1" r="413" s="1843" spans="1:55">
      <c r="A413" s="2857" t="s">
        <v>187</v>
      </c>
      <c r="B413" s="2789" t="n"/>
      <c r="C413" s="2944" t="n"/>
      <c r="D413" s="2857">
        <f>' SET Cost(staf+OS)'!D554/1000</f>
        <v/>
      </c>
      <c r="E413" s="2944" t="n"/>
      <c r="F413" s="2945" t="n"/>
      <c r="G413" s="2944" t="n"/>
      <c r="H413" s="2857">
        <f>' SET Cost(staf+OS)'!E554/1000</f>
        <v/>
      </c>
      <c r="I413" s="2944" t="n"/>
      <c r="J413" s="2789" t="n"/>
      <c r="K413" s="2944" t="n"/>
      <c r="L413" s="2857">
        <f>' SET Cost(staf+OS)'!F554/1000</f>
        <v/>
      </c>
      <c r="M413" s="2944" t="n"/>
      <c r="N413" s="2799" t="n"/>
      <c r="O413" s="2944" t="n"/>
      <c r="P413" s="2857">
        <f>' SET Cost(staf+OS)'!G554/1000</f>
        <v/>
      </c>
      <c r="Q413" s="2944" t="n"/>
      <c r="R413" s="2789" t="n"/>
      <c r="S413" s="2944" t="n"/>
      <c r="T413" s="2857">
        <f>' SET Cost(staf+OS)'!H554/1000</f>
        <v/>
      </c>
      <c r="U413" s="2944" t="n"/>
      <c r="V413" s="2799" t="n"/>
      <c r="W413" s="2944" t="n"/>
      <c r="X413" s="2857">
        <f>' SET Cost(staf+OS)'!I554/1000</f>
        <v/>
      </c>
      <c r="Y413" s="2944" t="n"/>
      <c r="Z413" s="2799" t="n"/>
      <c r="AA413" s="2944" t="n"/>
      <c r="AB413" s="2857">
        <f>' SET Cost(staf+OS)'!J554/1000</f>
        <v/>
      </c>
      <c r="AC413" s="2944" t="n"/>
      <c r="AD413" s="2799" t="n"/>
      <c r="AE413" s="2944" t="n"/>
      <c r="AF413" s="2857">
        <f>' SET Cost(staf+OS)'!K554/1000</f>
        <v/>
      </c>
      <c r="AG413" s="2944" t="n"/>
      <c r="AH413" s="2799" t="n"/>
      <c r="AI413" s="2944" t="n"/>
      <c r="AJ413" s="2857">
        <f>' SET Cost(staf+OS)'!L554/1000</f>
        <v/>
      </c>
      <c r="AK413" s="2944" t="n"/>
      <c r="AL413" s="2789" t="n"/>
      <c r="AM413" s="2944" t="n"/>
      <c r="AN413" s="2857">
        <f>' SET Cost(staf+OS)'!M554/1000</f>
        <v/>
      </c>
      <c r="AO413" s="2944" t="n"/>
      <c r="AP413" s="2789" t="n"/>
      <c r="AQ413" s="2944" t="n"/>
      <c r="AR413" s="2857">
        <f>' SET Cost(staf+OS)'!N554/1000</f>
        <v/>
      </c>
      <c r="AS413" s="2944" t="n"/>
      <c r="AT413" s="2789" t="n"/>
      <c r="AU413" s="2944" t="n"/>
      <c r="AV413" s="2857">
        <f>' SET Cost(staf+OS)'!O554/1000</f>
        <v/>
      </c>
      <c r="AW413" s="2944" t="n"/>
      <c r="AX413" s="2789" t="n"/>
      <c r="AY413" s="2857" t="n"/>
      <c r="AZ413" s="2857">
        <f>SUM(C413:AW413)</f>
        <v/>
      </c>
      <c r="BA413" s="2857" t="n"/>
    </row>
    <row hidden="1" outlineLevel="1" r="414" s="1843" spans="1:55">
      <c r="A414" s="2857" t="s">
        <v>189</v>
      </c>
      <c r="B414" s="2789" t="n"/>
      <c r="C414" s="2946" t="n"/>
      <c r="D414" s="2857">
        <f>' SET Cost(staf+OS)'!D555/1000</f>
        <v/>
      </c>
      <c r="E414" s="2944" t="n"/>
      <c r="F414" s="2945" t="n"/>
      <c r="G414" s="2944" t="n"/>
      <c r="H414" s="2857">
        <f>' SET Cost(staf+OS)'!E555/1000</f>
        <v/>
      </c>
      <c r="I414" s="2944" t="n"/>
      <c r="J414" s="2789" t="n"/>
      <c r="K414" s="2944" t="n"/>
      <c r="L414" s="2857">
        <f>' SET Cost(staf+OS)'!F555/1000</f>
        <v/>
      </c>
      <c r="M414" s="2944" t="n"/>
      <c r="N414" s="2799" t="n"/>
      <c r="O414" s="2944" t="n"/>
      <c r="P414" s="2857">
        <f>' SET Cost(staf+OS)'!G555/1000</f>
        <v/>
      </c>
      <c r="Q414" s="2944" t="n"/>
      <c r="R414" s="2789" t="n"/>
      <c r="S414" s="2944" t="n"/>
      <c r="T414" s="2857">
        <f>' SET Cost(staf+OS)'!H555/1000</f>
        <v/>
      </c>
      <c r="U414" s="2944" t="n"/>
      <c r="V414" s="2799" t="n"/>
      <c r="W414" s="2944" t="n"/>
      <c r="X414" s="2857">
        <f>' SET Cost(staf+OS)'!I555/1000</f>
        <v/>
      </c>
      <c r="Y414" s="2944" t="n"/>
      <c r="Z414" s="2799" t="n"/>
      <c r="AA414" s="2944" t="n"/>
      <c r="AB414" s="2857">
        <f>' SET Cost(staf+OS)'!J555/1000</f>
        <v/>
      </c>
      <c r="AC414" s="2944" t="n"/>
      <c r="AD414" s="2799" t="n"/>
      <c r="AE414" s="2944" t="n"/>
      <c r="AF414" s="2857">
        <f>' SET Cost(staf+OS)'!K555/1000</f>
        <v/>
      </c>
      <c r="AG414" s="2944" t="n"/>
      <c r="AH414" s="2799" t="n"/>
      <c r="AI414" s="2944" t="n"/>
      <c r="AJ414" s="2857">
        <f>' SET Cost(staf+OS)'!L555/1000</f>
        <v/>
      </c>
      <c r="AK414" s="2944" t="n"/>
      <c r="AL414" s="2789" t="n"/>
      <c r="AM414" s="2944" t="n"/>
      <c r="AN414" s="2857">
        <f>' SET Cost(staf+OS)'!M555/1000</f>
        <v/>
      </c>
      <c r="AO414" s="2944" t="n"/>
      <c r="AP414" s="2789" t="n"/>
      <c r="AQ414" s="2944" t="n"/>
      <c r="AR414" s="2857">
        <f>' SET Cost(staf+OS)'!N555/1000</f>
        <v/>
      </c>
      <c r="AS414" s="2944" t="n"/>
      <c r="AT414" s="2789" t="n"/>
      <c r="AU414" s="2944" t="n"/>
      <c r="AV414" s="2857">
        <f>' SET Cost(staf+OS)'!O555/1000</f>
        <v/>
      </c>
      <c r="AW414" s="2946" t="n"/>
      <c r="AX414" s="2789" t="n"/>
      <c r="AY414" s="2858" t="n"/>
      <c r="AZ414" s="2857">
        <f>SUM(C414:AW414)</f>
        <v/>
      </c>
      <c r="BA414" s="2858" t="n"/>
    </row>
    <row hidden="1" outlineLevel="1" r="415" s="1843" spans="1:55">
      <c r="A415" s="2857" t="s">
        <v>252</v>
      </c>
      <c r="B415" s="2789" t="n"/>
      <c r="C415" s="2946" t="n"/>
      <c r="D415" s="2857">
        <f>' SET Cost(staf+OS)'!D556/1000</f>
        <v/>
      </c>
      <c r="E415" s="2944" t="n"/>
      <c r="F415" s="2945" t="n"/>
      <c r="G415" s="2944" t="n"/>
      <c r="H415" s="2857">
        <f>' SET Cost(staf+OS)'!E556/1000</f>
        <v/>
      </c>
      <c r="I415" s="2944" t="n"/>
      <c r="J415" s="2789" t="n"/>
      <c r="K415" s="2944" t="n"/>
      <c r="L415" s="2857">
        <f>' SET Cost(staf+OS)'!F556/1000</f>
        <v/>
      </c>
      <c r="M415" s="2944" t="n"/>
      <c r="N415" s="2799" t="n"/>
      <c r="O415" s="2944" t="n"/>
      <c r="P415" s="2857">
        <f>' SET Cost(staf+OS)'!G556/1000</f>
        <v/>
      </c>
      <c r="Q415" s="2944" t="n"/>
      <c r="R415" s="2789" t="n"/>
      <c r="S415" s="2944" t="n"/>
      <c r="T415" s="2857">
        <f>' SET Cost(staf+OS)'!H556/1000</f>
        <v/>
      </c>
      <c r="U415" s="2944" t="n"/>
      <c r="V415" s="2799" t="n"/>
      <c r="W415" s="2944" t="n"/>
      <c r="X415" s="2857">
        <f>' SET Cost(staf+OS)'!I556/1000</f>
        <v/>
      </c>
      <c r="Y415" s="2944" t="n"/>
      <c r="Z415" s="2799" t="n"/>
      <c r="AA415" s="2944" t="n"/>
      <c r="AB415" s="2857">
        <f>' SET Cost(staf+OS)'!J556/1000</f>
        <v/>
      </c>
      <c r="AC415" s="2944" t="n"/>
      <c r="AD415" s="2799" t="n"/>
      <c r="AE415" s="2944" t="n"/>
      <c r="AF415" s="2857">
        <f>' SET Cost(staf+OS)'!K556/1000</f>
        <v/>
      </c>
      <c r="AG415" s="2944" t="n"/>
      <c r="AH415" s="2799" t="n"/>
      <c r="AI415" s="2944" t="n"/>
      <c r="AJ415" s="2857">
        <f>' SET Cost(staf+OS)'!L556/1000</f>
        <v/>
      </c>
      <c r="AK415" s="2944" t="n"/>
      <c r="AL415" s="2789" t="n"/>
      <c r="AM415" s="2944" t="n"/>
      <c r="AN415" s="2857">
        <f>' SET Cost(staf+OS)'!M556/1000</f>
        <v/>
      </c>
      <c r="AO415" s="2944" t="n"/>
      <c r="AP415" s="2789" t="n"/>
      <c r="AQ415" s="2944" t="n"/>
      <c r="AR415" s="2857">
        <f>' SET Cost(staf+OS)'!N556/1000</f>
        <v/>
      </c>
      <c r="AS415" s="2944" t="n"/>
      <c r="AT415" s="2789" t="n"/>
      <c r="AU415" s="2944" t="n"/>
      <c r="AV415" s="2857">
        <f>' SET Cost(staf+OS)'!O556/1000</f>
        <v/>
      </c>
      <c r="AW415" s="2858" t="n"/>
      <c r="AX415" s="2789" t="n"/>
      <c r="AY415" s="2858" t="n"/>
      <c r="AZ415" s="2858">
        <f>SUM(C415:AW415)</f>
        <v/>
      </c>
      <c r="BA415" s="2858" t="n"/>
    </row>
    <row hidden="1" outlineLevel="1" r="416" s="1843" spans="1:55">
      <c r="A416" s="2857" t="s">
        <v>191</v>
      </c>
      <c r="B416" s="2789" t="n"/>
      <c r="C416" s="2946" t="n"/>
      <c r="D416" s="2857">
        <f>' SET Cost(staf+OS)'!D557/1000</f>
        <v/>
      </c>
      <c r="E416" s="2944" t="n"/>
      <c r="F416" s="2945" t="n"/>
      <c r="G416" s="2944" t="n"/>
      <c r="H416" s="2857">
        <f>' SET Cost(staf+OS)'!E557/1000</f>
        <v/>
      </c>
      <c r="I416" s="2944" t="n"/>
      <c r="J416" s="2789" t="n"/>
      <c r="K416" s="2944" t="n"/>
      <c r="L416" s="2857">
        <f>' SET Cost(staf+OS)'!F557/1000</f>
        <v/>
      </c>
      <c r="M416" s="2944" t="n"/>
      <c r="N416" s="2799" t="n"/>
      <c r="O416" s="2944" t="n"/>
      <c r="P416" s="2857">
        <f>' SET Cost(staf+OS)'!G557/1000</f>
        <v/>
      </c>
      <c r="Q416" s="2944" t="n"/>
      <c r="R416" s="2789" t="n"/>
      <c r="S416" s="2944" t="n"/>
      <c r="T416" s="2857">
        <f>' SET Cost(staf+OS)'!H557/1000</f>
        <v/>
      </c>
      <c r="U416" s="2944" t="n"/>
      <c r="V416" s="2799" t="n"/>
      <c r="W416" s="2944" t="n"/>
      <c r="X416" s="2857">
        <f>' SET Cost(staf+OS)'!I557/1000</f>
        <v/>
      </c>
      <c r="Y416" s="2944" t="n"/>
      <c r="Z416" s="2799" t="n"/>
      <c r="AA416" s="2944" t="n"/>
      <c r="AB416" s="2857">
        <f>' SET Cost(staf+OS)'!J557/1000</f>
        <v/>
      </c>
      <c r="AC416" s="2944" t="n"/>
      <c r="AD416" s="2799" t="n"/>
      <c r="AE416" s="2944" t="n"/>
      <c r="AF416" s="2857">
        <f>' SET Cost(staf+OS)'!K557/1000</f>
        <v/>
      </c>
      <c r="AG416" s="2944" t="n"/>
      <c r="AH416" s="2799" t="n"/>
      <c r="AI416" s="2944" t="n"/>
      <c r="AJ416" s="2857">
        <f>' SET Cost(staf+OS)'!L557/1000</f>
        <v/>
      </c>
      <c r="AK416" s="2944" t="n"/>
      <c r="AL416" s="2789" t="n"/>
      <c r="AM416" s="2944" t="n"/>
      <c r="AN416" s="2857">
        <f>' SET Cost(staf+OS)'!M557/1000</f>
        <v/>
      </c>
      <c r="AO416" s="2944" t="n"/>
      <c r="AP416" s="2789" t="n"/>
      <c r="AQ416" s="2944" t="n"/>
      <c r="AR416" s="2857">
        <f>' SET Cost(staf+OS)'!N557/1000</f>
        <v/>
      </c>
      <c r="AS416" s="2944" t="n"/>
      <c r="AT416" s="2789" t="n"/>
      <c r="AU416" s="2944" t="n"/>
      <c r="AV416" s="2857">
        <f>' SET Cost(staf+OS)'!O557/1000</f>
        <v/>
      </c>
      <c r="AW416" s="2946" t="n"/>
      <c r="AX416" s="2789" t="n"/>
      <c r="AY416" s="2858" t="n"/>
      <c r="AZ416" s="2857">
        <f>SUM(C416:AW416)</f>
        <v/>
      </c>
      <c r="BA416" s="2858" t="n"/>
    </row>
    <row hidden="1" outlineLevel="1" r="417" s="1843" spans="1:55">
      <c r="A417" s="2857" t="s">
        <v>192</v>
      </c>
      <c r="B417" s="2789" t="n"/>
      <c r="C417" s="2946" t="n"/>
      <c r="D417" s="2857">
        <f>' SET Cost(staf+OS)'!D558/1000</f>
        <v/>
      </c>
      <c r="E417" s="2944" t="n"/>
      <c r="F417" s="2945" t="n"/>
      <c r="G417" s="2944" t="n"/>
      <c r="H417" s="2857">
        <f>' SET Cost(staf+OS)'!E558/1000</f>
        <v/>
      </c>
      <c r="I417" s="2944" t="n"/>
      <c r="J417" s="2789" t="n"/>
      <c r="K417" s="2944" t="n"/>
      <c r="L417" s="2857">
        <f>' SET Cost(staf+OS)'!F558/1000</f>
        <v/>
      </c>
      <c r="M417" s="2944" t="n"/>
      <c r="N417" s="2799" t="n"/>
      <c r="O417" s="2944" t="n"/>
      <c r="P417" s="2857">
        <f>' SET Cost(staf+OS)'!G558/1000</f>
        <v/>
      </c>
      <c r="Q417" s="2944" t="n"/>
      <c r="R417" s="2789" t="n"/>
      <c r="S417" s="2944" t="n"/>
      <c r="T417" s="2857">
        <f>' SET Cost(staf+OS)'!H558/1000</f>
        <v/>
      </c>
      <c r="U417" s="2944" t="n"/>
      <c r="V417" s="2799" t="n"/>
      <c r="W417" s="2944" t="n"/>
      <c r="X417" s="2857">
        <f>' SET Cost(staf+OS)'!I558/1000</f>
        <v/>
      </c>
      <c r="Y417" s="2944" t="n"/>
      <c r="Z417" s="2799" t="n"/>
      <c r="AA417" s="2944" t="n"/>
      <c r="AB417" s="2857">
        <f>' SET Cost(staf+OS)'!J558/1000</f>
        <v/>
      </c>
      <c r="AC417" s="2944" t="n"/>
      <c r="AD417" s="2799" t="n"/>
      <c r="AE417" s="2944" t="n"/>
      <c r="AF417" s="2857">
        <f>' SET Cost(staf+OS)'!K558/1000</f>
        <v/>
      </c>
      <c r="AG417" s="2944" t="n"/>
      <c r="AH417" s="2799" t="n"/>
      <c r="AI417" s="2944" t="n"/>
      <c r="AJ417" s="2857">
        <f>' SET Cost(staf+OS)'!L558/1000</f>
        <v/>
      </c>
      <c r="AK417" s="2944" t="n"/>
      <c r="AL417" s="2789" t="n"/>
      <c r="AM417" s="2944" t="n"/>
      <c r="AN417" s="2857">
        <f>' SET Cost(staf+OS)'!M558/1000</f>
        <v/>
      </c>
      <c r="AO417" s="2944" t="n"/>
      <c r="AP417" s="2789" t="n"/>
      <c r="AQ417" s="2944" t="n"/>
      <c r="AR417" s="2857">
        <f>' SET Cost(staf+OS)'!N558/1000</f>
        <v/>
      </c>
      <c r="AS417" s="2944" t="n"/>
      <c r="AT417" s="2789" t="n"/>
      <c r="AU417" s="2944" t="n"/>
      <c r="AV417" s="2857">
        <f>' SET Cost(staf+OS)'!O558/1000</f>
        <v/>
      </c>
      <c r="AW417" s="2946" t="n"/>
      <c r="AX417" s="2789" t="n"/>
      <c r="AY417" s="2858" t="n"/>
      <c r="AZ417" s="2857">
        <f>SUM(C417:AW417)</f>
        <v/>
      </c>
      <c r="BA417" s="2858" t="n"/>
    </row>
    <row hidden="1" outlineLevel="1" r="418" s="1843" spans="1:55">
      <c r="A418" s="2857" t="s">
        <v>194</v>
      </c>
      <c r="B418" s="2789" t="n"/>
      <c r="C418" s="2946" t="n"/>
      <c r="D418" s="2842">
        <f>' SET Cost(staf+OS)'!D559/1000+'OS&amp;Travel Exp'!C62/1000</f>
        <v/>
      </c>
      <c r="E418" s="2842" t="n"/>
      <c r="F418" s="2789" t="n"/>
      <c r="G418" s="2842" t="n"/>
      <c r="H418" s="2842">
        <f>' SET Cost(staf+OS)'!E559/1000+'OS&amp;Travel Exp'!D62/1000</f>
        <v/>
      </c>
      <c r="I418" s="2842" t="n"/>
      <c r="J418" s="2789" t="n"/>
      <c r="K418" s="2842" t="n"/>
      <c r="L418" s="2842">
        <f>' SET Cost(staf+OS)'!F559/1000+'OS&amp;Travel Exp'!E62/1000</f>
        <v/>
      </c>
      <c r="M418" s="2842" t="n"/>
      <c r="N418" s="2799" t="n"/>
      <c r="O418" s="2842" t="n"/>
      <c r="P418" s="2842">
        <f>' SET Cost(staf+OS)'!G559/1000+'OS&amp;Travel Exp'!F62/1000</f>
        <v/>
      </c>
      <c r="Q418" s="2842" t="n"/>
      <c r="R418" s="2789" t="n"/>
      <c r="S418" s="2842" t="n"/>
      <c r="T418" s="2842">
        <f>' SET Cost(staf+OS)'!H559/1000+'OS&amp;Travel Exp'!G62/1000</f>
        <v/>
      </c>
      <c r="U418" s="2842" t="n"/>
      <c r="V418" s="2799" t="n"/>
      <c r="W418" s="2842" t="n"/>
      <c r="X418" s="2842">
        <f>' SET Cost(staf+OS)'!I559/1000+'OS&amp;Travel Exp'!H62/1000</f>
        <v/>
      </c>
      <c r="Y418" s="2842" t="n"/>
      <c r="Z418" s="2799" t="n"/>
      <c r="AA418" s="2842" t="n"/>
      <c r="AB418" s="2842">
        <f>' SET Cost(staf+OS)'!J559/1000+'OS&amp;Travel Exp'!I62/1000</f>
        <v/>
      </c>
      <c r="AC418" s="2842" t="n"/>
      <c r="AD418" s="2799" t="n"/>
      <c r="AE418" s="2842" t="n"/>
      <c r="AF418" s="2842">
        <f>' SET Cost(staf+OS)'!K559/1000+'OS&amp;Travel Exp'!J62/1000</f>
        <v/>
      </c>
      <c r="AG418" s="2842" t="n"/>
      <c r="AH418" s="2799" t="n"/>
      <c r="AI418" s="2842" t="n"/>
      <c r="AJ418" s="2842">
        <f>' SET Cost(staf+OS)'!L559/1000+'OS&amp;Travel Exp'!K62/1000</f>
        <v/>
      </c>
      <c r="AK418" s="2842" t="n"/>
      <c r="AL418" s="2789" t="n"/>
      <c r="AM418" s="2842" t="n"/>
      <c r="AN418" s="2842">
        <f>' SET Cost(staf+OS)'!M559/1000+'OS&amp;Travel Exp'!L62/1000</f>
        <v/>
      </c>
      <c r="AO418" s="2842" t="n"/>
      <c r="AP418" s="2789" t="n"/>
      <c r="AQ418" s="2842" t="n"/>
      <c r="AR418" s="2842">
        <f>' SET Cost(staf+OS)'!N559/1000+'OS&amp;Travel Exp'!M62/1000</f>
        <v/>
      </c>
      <c r="AS418" s="2842" t="n"/>
      <c r="AT418" s="2789" t="n"/>
      <c r="AU418" s="2842" t="n"/>
      <c r="AV418" s="2842">
        <f>' SET Cost(staf+OS)'!O559/1000+'OS&amp;Travel Exp'!N62/1000</f>
        <v/>
      </c>
      <c r="AW418" s="2858" t="n"/>
      <c r="AX418" s="2789" t="n"/>
      <c r="AY418" s="2858" t="n"/>
      <c r="AZ418" s="2858">
        <f>SUM(C418:AW418)</f>
        <v/>
      </c>
      <c r="BA418" s="2858" t="n"/>
    </row>
    <row hidden="1" outlineLevel="1" r="419" s="1843" spans="1:55">
      <c r="A419" s="2857" t="s">
        <v>195</v>
      </c>
      <c r="B419" s="2789" t="n"/>
      <c r="C419" s="2944" t="n"/>
      <c r="D419" s="2842">
        <f>' SET Cost(staf+OS)'!D560/1000+'OS&amp;Travel Exp'!C39/1000</f>
        <v/>
      </c>
      <c r="E419" s="2842" t="n"/>
      <c r="F419" s="2789" t="n"/>
      <c r="G419" s="2842" t="n"/>
      <c r="H419" s="2842">
        <f>' SET Cost(staf+OS)'!E560/1000+'OS&amp;Travel Exp'!D39/1000</f>
        <v/>
      </c>
      <c r="I419" s="2842" t="n"/>
      <c r="J419" s="2789" t="n"/>
      <c r="K419" s="2842" t="n"/>
      <c r="L419" s="2842">
        <f>' SET Cost(staf+OS)'!F560/1000+'OS&amp;Travel Exp'!E39/1000</f>
        <v/>
      </c>
      <c r="M419" s="2842" t="n"/>
      <c r="N419" s="2799" t="n"/>
      <c r="O419" s="2842" t="n"/>
      <c r="P419" s="2842">
        <f>' SET Cost(staf+OS)'!G560/1000+'OS&amp;Travel Exp'!F39/1000</f>
        <v/>
      </c>
      <c r="Q419" s="2842" t="n"/>
      <c r="R419" s="2789" t="n"/>
      <c r="S419" s="2842" t="n"/>
      <c r="T419" s="2842">
        <f>' SET Cost(staf+OS)'!H560/1000+'OS&amp;Travel Exp'!G39/1000</f>
        <v/>
      </c>
      <c r="U419" s="2842" t="n"/>
      <c r="V419" s="2799" t="n"/>
      <c r="W419" s="2842" t="n"/>
      <c r="X419" s="2842">
        <f>' SET Cost(staf+OS)'!I560/1000+'OS&amp;Travel Exp'!H39/1000</f>
        <v/>
      </c>
      <c r="Y419" s="2842" t="n"/>
      <c r="Z419" s="2799" t="n"/>
      <c r="AA419" s="2842" t="n"/>
      <c r="AB419" s="2842">
        <f>' SET Cost(staf+OS)'!J560/1000+'OS&amp;Travel Exp'!I39/1000</f>
        <v/>
      </c>
      <c r="AC419" s="2842" t="n"/>
      <c r="AD419" s="2799" t="n"/>
      <c r="AE419" s="2842" t="n"/>
      <c r="AF419" s="2842">
        <f>' SET Cost(staf+OS)'!K560/1000+'OS&amp;Travel Exp'!J39/1000</f>
        <v/>
      </c>
      <c r="AG419" s="2842" t="n"/>
      <c r="AH419" s="2799" t="n"/>
      <c r="AI419" s="2842" t="n"/>
      <c r="AJ419" s="2842">
        <f>' SET Cost(staf+OS)'!L560/1000+'OS&amp;Travel Exp'!K39/1000</f>
        <v/>
      </c>
      <c r="AK419" s="2842" t="n"/>
      <c r="AL419" s="2789" t="n"/>
      <c r="AM419" s="2842" t="n"/>
      <c r="AN419" s="2842">
        <f>' SET Cost(staf+OS)'!M560/1000+'OS&amp;Travel Exp'!L39/1000</f>
        <v/>
      </c>
      <c r="AO419" s="2842" t="n"/>
      <c r="AP419" s="2789" t="n"/>
      <c r="AQ419" s="2842" t="n"/>
      <c r="AR419" s="2842">
        <f>' SET Cost(staf+OS)'!N560/1000+'OS&amp;Travel Exp'!M39/1000</f>
        <v/>
      </c>
      <c r="AS419" s="2842" t="n"/>
      <c r="AT419" s="2789" t="n"/>
      <c r="AU419" s="2842" t="n"/>
      <c r="AV419" s="2842">
        <f>' SET Cost(staf+OS)'!O560/1000+'OS&amp;Travel Exp'!N39/1000</f>
        <v/>
      </c>
      <c r="AW419" s="2944" t="n"/>
      <c r="AX419" s="2789" t="n"/>
      <c r="AY419" s="2857" t="n"/>
      <c r="AZ419" s="2857">
        <f>SUM(C419:AW419)</f>
        <v/>
      </c>
      <c r="BA419" s="2857" t="n"/>
    </row>
    <row hidden="1" outlineLevel="1" r="420" s="1843" spans="1:55">
      <c r="A420" s="2794" t="s">
        <v>366</v>
      </c>
      <c r="B420" s="2793" t="n"/>
      <c r="C420" s="2928" t="n"/>
      <c r="D420" s="2844">
        <f>'OS&amp;Travel Exp'!C14</f>
        <v/>
      </c>
      <c r="E420" s="2844" t="n"/>
      <c r="F420" s="2793" t="n"/>
      <c r="G420" s="2844" t="n"/>
      <c r="H420" s="2844">
        <f>'OS&amp;Travel Exp'!D14</f>
        <v/>
      </c>
      <c r="I420" s="2844" t="n"/>
      <c r="J420" s="2793" t="n"/>
      <c r="K420" s="2844" t="n"/>
      <c r="L420" s="2844">
        <f>'OS&amp;Travel Exp'!E14</f>
        <v/>
      </c>
      <c r="M420" s="2844" t="n"/>
      <c r="N420" s="2795" t="n"/>
      <c r="O420" s="2844" t="n"/>
      <c r="P420" s="2844">
        <f>'OS&amp;Travel Exp'!F14</f>
        <v/>
      </c>
      <c r="Q420" s="2844" t="n"/>
      <c r="R420" s="2793" t="n"/>
      <c r="S420" s="2844" t="n"/>
      <c r="T420" s="2844">
        <f>'OS&amp;Travel Exp'!G14</f>
        <v/>
      </c>
      <c r="U420" s="2844" t="n"/>
      <c r="V420" s="2795" t="n"/>
      <c r="W420" s="2844" t="n"/>
      <c r="X420" s="2844">
        <f>'OS&amp;Travel Exp'!H14</f>
        <v/>
      </c>
      <c r="Y420" s="2844" t="n"/>
      <c r="Z420" s="2795" t="n"/>
      <c r="AA420" s="2844" t="n"/>
      <c r="AB420" s="2844">
        <f>'OS&amp;Travel Exp'!I14</f>
        <v/>
      </c>
      <c r="AC420" s="2844" t="n"/>
      <c r="AD420" s="2795" t="n"/>
      <c r="AE420" s="2844" t="n"/>
      <c r="AF420" s="2844">
        <f>'OS&amp;Travel Exp'!J14</f>
        <v/>
      </c>
      <c r="AG420" s="2844" t="n"/>
      <c r="AH420" s="2795" t="n"/>
      <c r="AI420" s="2844" t="n"/>
      <c r="AJ420" s="2844">
        <f>'OS&amp;Travel Exp'!K14</f>
        <v/>
      </c>
      <c r="AK420" s="2844" t="n"/>
      <c r="AL420" s="2793" t="n"/>
      <c r="AM420" s="2844" t="n"/>
      <c r="AN420" s="2844">
        <f>'OS&amp;Travel Exp'!L14</f>
        <v/>
      </c>
      <c r="AO420" s="2844" t="n"/>
      <c r="AP420" s="2793" t="n"/>
      <c r="AQ420" s="2844" t="n"/>
      <c r="AR420" s="2844">
        <f>'OS&amp;Travel Exp'!M14</f>
        <v/>
      </c>
      <c r="AS420" s="2844" t="n"/>
      <c r="AT420" s="2793" t="n"/>
      <c r="AU420" s="2844" t="n"/>
      <c r="AV420" s="2844">
        <f>'OS&amp;Travel Exp'!N14</f>
        <v/>
      </c>
      <c r="AW420" s="2794" t="n"/>
      <c r="AX420" s="2793" t="n"/>
      <c r="AY420" s="2794" t="n"/>
      <c r="AZ420" s="2794">
        <f>SUM(C420:AW420)</f>
        <v/>
      </c>
      <c r="BA420" s="2794" t="n"/>
    </row>
    <row hidden="1" outlineLevel="1" r="421" s="1843" spans="1:55">
      <c r="A421" s="2857" t="s">
        <v>161</v>
      </c>
      <c r="B421" s="2789" t="n"/>
      <c r="C421" s="2944" t="n"/>
      <c r="D421" s="2857">
        <f>' SET Cost(staf+OS)'!D562/1000</f>
        <v/>
      </c>
      <c r="E421" s="2944" t="n"/>
      <c r="F421" s="2945" t="n"/>
      <c r="G421" s="2944" t="n"/>
      <c r="H421" s="2857">
        <f>' SET Cost(staf+OS)'!E562/1000</f>
        <v/>
      </c>
      <c r="I421" s="2944" t="n"/>
      <c r="J421" s="2789" t="n"/>
      <c r="K421" s="2944" t="n"/>
      <c r="L421" s="2857">
        <f>' SET Cost(staf+OS)'!F562/1000</f>
        <v/>
      </c>
      <c r="M421" s="2944" t="n"/>
      <c r="N421" s="2799" t="n"/>
      <c r="O421" s="2944" t="n"/>
      <c r="P421" s="2857">
        <f>' SET Cost(staf+OS)'!G562/1000</f>
        <v/>
      </c>
      <c r="Q421" s="2944" t="n"/>
      <c r="R421" s="2789" t="n"/>
      <c r="S421" s="2944" t="n"/>
      <c r="T421" s="2857">
        <f>' SET Cost(staf+OS)'!H562/1000</f>
        <v/>
      </c>
      <c r="U421" s="2944" t="n"/>
      <c r="V421" s="2799" t="n"/>
      <c r="W421" s="2944" t="n"/>
      <c r="X421" s="2857">
        <f>' SET Cost(staf+OS)'!I562/1000</f>
        <v/>
      </c>
      <c r="Y421" s="2944" t="n"/>
      <c r="Z421" s="2799" t="n"/>
      <c r="AA421" s="2944" t="n"/>
      <c r="AB421" s="2857">
        <f>' SET Cost(staf+OS)'!J562/1000</f>
        <v/>
      </c>
      <c r="AC421" s="2944" t="n"/>
      <c r="AD421" s="2799" t="n"/>
      <c r="AE421" s="2944" t="n"/>
      <c r="AF421" s="2857">
        <f>' SET Cost(staf+OS)'!K562/1000</f>
        <v/>
      </c>
      <c r="AG421" s="2944" t="n"/>
      <c r="AH421" s="2799" t="n"/>
      <c r="AI421" s="2944" t="n"/>
      <c r="AJ421" s="2857">
        <f>' SET Cost(staf+OS)'!L562/1000</f>
        <v/>
      </c>
      <c r="AK421" s="2944" t="n"/>
      <c r="AL421" s="2789" t="n"/>
      <c r="AM421" s="2944" t="n"/>
      <c r="AN421" s="2857">
        <f>' SET Cost(staf+OS)'!M562/1000</f>
        <v/>
      </c>
      <c r="AO421" s="2944" t="n"/>
      <c r="AP421" s="2789" t="n"/>
      <c r="AQ421" s="2944" t="n"/>
      <c r="AR421" s="2857">
        <f>' SET Cost(staf+OS)'!N562/1000</f>
        <v/>
      </c>
      <c r="AS421" s="2944" t="n"/>
      <c r="AT421" s="2789" t="n"/>
      <c r="AU421" s="2944" t="n"/>
      <c r="AV421" s="2857">
        <f>' SET Cost(staf+OS)'!O562/1000</f>
        <v/>
      </c>
      <c r="AW421" s="2944" t="n"/>
      <c r="AX421" s="2789" t="n"/>
      <c r="AY421" s="2857" t="n"/>
      <c r="AZ421" s="2857">
        <f>SUM(C421:AW421)</f>
        <v/>
      </c>
      <c r="BA421" s="2857" t="n"/>
    </row>
    <row hidden="1" outlineLevel="1" r="422" s="1843" spans="1:55">
      <c r="A422" s="2859" t="s">
        <v>367</v>
      </c>
      <c r="B422" s="2789" t="n"/>
      <c r="C422" s="2946" t="n"/>
      <c r="D422" s="2857">
        <f>' SET Cost(staf+OS)'!D563/1000</f>
        <v/>
      </c>
      <c r="E422" s="2944" t="n"/>
      <c r="F422" s="2945" t="n"/>
      <c r="G422" s="2944" t="n"/>
      <c r="H422" s="2857">
        <f>' SET Cost(staf+OS)'!E563/1000</f>
        <v/>
      </c>
      <c r="I422" s="2944" t="n"/>
      <c r="J422" s="2789" t="n"/>
      <c r="K422" s="2944" t="n"/>
      <c r="L422" s="2857">
        <f>' SET Cost(staf+OS)'!F563/1000</f>
        <v/>
      </c>
      <c r="M422" s="2944" t="n"/>
      <c r="N422" s="2799" t="n"/>
      <c r="O422" s="2944" t="n"/>
      <c r="P422" s="2857">
        <f>' SET Cost(staf+OS)'!G563/1000</f>
        <v/>
      </c>
      <c r="Q422" s="2944" t="n"/>
      <c r="R422" s="2789" t="n"/>
      <c r="S422" s="2944" t="n"/>
      <c r="T422" s="2857">
        <f>' SET Cost(staf+OS)'!H563/1000</f>
        <v/>
      </c>
      <c r="U422" s="2944" t="n"/>
      <c r="V422" s="2799" t="n"/>
      <c r="W422" s="2944" t="n"/>
      <c r="X422" s="2857">
        <f>' SET Cost(staf+OS)'!I563/1000</f>
        <v/>
      </c>
      <c r="Y422" s="2944" t="n"/>
      <c r="Z422" s="2799" t="n"/>
      <c r="AA422" s="2944" t="n"/>
      <c r="AB422" s="2857">
        <f>' SET Cost(staf+OS)'!J563/1000</f>
        <v/>
      </c>
      <c r="AC422" s="2944" t="n"/>
      <c r="AD422" s="2799" t="n"/>
      <c r="AE422" s="2944" t="n"/>
      <c r="AF422" s="2857">
        <f>' SET Cost(staf+OS)'!K563/1000</f>
        <v/>
      </c>
      <c r="AG422" s="2944" t="n"/>
      <c r="AH422" s="2799" t="n"/>
      <c r="AI422" s="2944" t="n"/>
      <c r="AJ422" s="2857">
        <f>' SET Cost(staf+OS)'!L563/1000</f>
        <v/>
      </c>
      <c r="AK422" s="2944" t="n"/>
      <c r="AL422" s="2789" t="n"/>
      <c r="AM422" s="2944" t="n"/>
      <c r="AN422" s="2857">
        <f>' SET Cost(staf+OS)'!M563/1000</f>
        <v/>
      </c>
      <c r="AO422" s="2944" t="n"/>
      <c r="AP422" s="2789" t="n"/>
      <c r="AQ422" s="2944" t="n"/>
      <c r="AR422" s="2857">
        <f>' SET Cost(staf+OS)'!N563/1000</f>
        <v/>
      </c>
      <c r="AS422" s="2944" t="n"/>
      <c r="AT422" s="2789" t="n"/>
      <c r="AU422" s="2944" t="n"/>
      <c r="AV422" s="2857">
        <f>' SET Cost(staf+OS)'!O563/1000</f>
        <v/>
      </c>
      <c r="AW422" s="2946" t="n"/>
      <c r="AX422" s="2789" t="n"/>
      <c r="AY422" s="2858" t="n"/>
      <c r="AZ422" s="2857">
        <f>SUM(C422:AW422)</f>
        <v/>
      </c>
      <c r="BA422" s="2858" t="n"/>
    </row>
    <row hidden="1" outlineLevel="1" r="423" s="1843" spans="1:55">
      <c r="A423" s="2860" t="s">
        <v>232</v>
      </c>
      <c r="B423" s="2789" t="n"/>
      <c r="C423" s="2944" t="n"/>
      <c r="D423" s="2857">
        <f>' SET Cost(staf+OS)'!D564/1000</f>
        <v/>
      </c>
      <c r="E423" s="2944" t="n"/>
      <c r="F423" s="2945" t="n"/>
      <c r="G423" s="2944" t="n"/>
      <c r="H423" s="2857">
        <f>' SET Cost(staf+OS)'!E564/1000</f>
        <v/>
      </c>
      <c r="I423" s="2944" t="n"/>
      <c r="J423" s="2789" t="n"/>
      <c r="K423" s="2944" t="n"/>
      <c r="L423" s="2857">
        <f>' SET Cost(staf+OS)'!F564/1000</f>
        <v/>
      </c>
      <c r="M423" s="2944" t="n"/>
      <c r="N423" s="2799" t="n"/>
      <c r="O423" s="2944" t="n"/>
      <c r="P423" s="2857">
        <f>' SET Cost(staf+OS)'!G564/1000</f>
        <v/>
      </c>
      <c r="Q423" s="2944" t="n"/>
      <c r="R423" s="2789" t="n"/>
      <c r="S423" s="2944" t="n"/>
      <c r="T423" s="2857">
        <f>' SET Cost(staf+OS)'!H564/1000</f>
        <v/>
      </c>
      <c r="U423" s="2944" t="n"/>
      <c r="V423" s="2799" t="n"/>
      <c r="W423" s="2944" t="n"/>
      <c r="X423" s="2857">
        <f>' SET Cost(staf+OS)'!I564/1000</f>
        <v/>
      </c>
      <c r="Y423" s="2944" t="n"/>
      <c r="Z423" s="2799" t="n"/>
      <c r="AA423" s="2944" t="n"/>
      <c r="AB423" s="2857">
        <f>' SET Cost(staf+OS)'!J564/1000</f>
        <v/>
      </c>
      <c r="AC423" s="2944" t="n"/>
      <c r="AD423" s="2799" t="n"/>
      <c r="AE423" s="2944" t="n"/>
      <c r="AF423" s="2857">
        <f>' SET Cost(staf+OS)'!K564/1000</f>
        <v/>
      </c>
      <c r="AG423" s="2944" t="n"/>
      <c r="AH423" s="2799" t="n"/>
      <c r="AI423" s="2944" t="n"/>
      <c r="AJ423" s="2857">
        <f>' SET Cost(staf+OS)'!L564/1000</f>
        <v/>
      </c>
      <c r="AK423" s="2944" t="n"/>
      <c r="AL423" s="2789" t="n"/>
      <c r="AM423" s="2944" t="n"/>
      <c r="AN423" s="2857">
        <f>' SET Cost(staf+OS)'!M564/1000</f>
        <v/>
      </c>
      <c r="AO423" s="2944" t="n"/>
      <c r="AP423" s="2789" t="n"/>
      <c r="AQ423" s="2944" t="n"/>
      <c r="AR423" s="2857">
        <f>' SET Cost(staf+OS)'!N564/1000</f>
        <v/>
      </c>
      <c r="AS423" s="2944" t="n"/>
      <c r="AT423" s="2789" t="n"/>
      <c r="AU423" s="2944" t="n"/>
      <c r="AV423" s="2857">
        <f>' SET Cost(staf+OS)'!O564/1000</f>
        <v/>
      </c>
      <c r="AW423" s="2946" t="n"/>
      <c r="AX423" s="2789" t="n"/>
      <c r="AY423" s="2858" t="n"/>
      <c r="AZ423" s="2857">
        <f>SUM(C423:AW423)</f>
        <v/>
      </c>
      <c r="BA423" s="2858" t="n"/>
    </row>
    <row customFormat="1" hidden="1" outlineLevel="1" r="424" s="2216" spans="1:55">
      <c r="A424" s="2863" t="s">
        <v>233</v>
      </c>
      <c r="B424" s="2789" t="n"/>
      <c r="C424" s="2951" t="n"/>
      <c r="D424" s="2857">
        <f>' SET Cost(staf+OS)'!D565/1000</f>
        <v/>
      </c>
      <c r="E424" s="2944" t="n"/>
      <c r="F424" s="2945" t="n"/>
      <c r="G424" s="2944" t="n"/>
      <c r="H424" s="2857">
        <f>' SET Cost(staf+OS)'!E565/1000</f>
        <v/>
      </c>
      <c r="I424" s="2944" t="n"/>
      <c r="J424" s="2789" t="n"/>
      <c r="K424" s="2944" t="n"/>
      <c r="L424" s="2857">
        <f>' SET Cost(staf+OS)'!F565/1000</f>
        <v/>
      </c>
      <c r="M424" s="2944" t="n"/>
      <c r="N424" s="2799" t="n"/>
      <c r="O424" s="2944" t="n"/>
      <c r="P424" s="2857">
        <f>' SET Cost(staf+OS)'!G565/1000</f>
        <v/>
      </c>
      <c r="Q424" s="2944" t="n"/>
      <c r="R424" s="2789" t="n"/>
      <c r="S424" s="2944" t="n"/>
      <c r="T424" s="2857">
        <f>' SET Cost(staf+OS)'!H565/1000</f>
        <v/>
      </c>
      <c r="U424" s="2944" t="n"/>
      <c r="V424" s="2799" t="n"/>
      <c r="W424" s="2944" t="n"/>
      <c r="X424" s="2857">
        <f>' SET Cost(staf+OS)'!I565/1000</f>
        <v/>
      </c>
      <c r="Y424" s="2944" t="n"/>
      <c r="Z424" s="2799" t="n"/>
      <c r="AA424" s="2944" t="n"/>
      <c r="AB424" s="2857">
        <f>' SET Cost(staf+OS)'!J565/1000</f>
        <v/>
      </c>
      <c r="AC424" s="2944" t="n"/>
      <c r="AD424" s="2799" t="n"/>
      <c r="AE424" s="2944" t="n"/>
      <c r="AF424" s="2857">
        <f>' SET Cost(staf+OS)'!K565/1000</f>
        <v/>
      </c>
      <c r="AG424" s="2944" t="n"/>
      <c r="AH424" s="2799" t="n"/>
      <c r="AI424" s="2944" t="n"/>
      <c r="AJ424" s="2857">
        <f>' SET Cost(staf+OS)'!L565/1000</f>
        <v/>
      </c>
      <c r="AK424" s="2944" t="n"/>
      <c r="AL424" s="2789" t="n"/>
      <c r="AM424" s="2944" t="n"/>
      <c r="AN424" s="2857">
        <f>' SET Cost(staf+OS)'!M565/1000</f>
        <v/>
      </c>
      <c r="AO424" s="2944" t="n"/>
      <c r="AP424" s="2789" t="n"/>
      <c r="AQ424" s="2944" t="n"/>
      <c r="AR424" s="2857">
        <f>' SET Cost(staf+OS)'!N565/1000</f>
        <v/>
      </c>
      <c r="AS424" s="2944" t="n"/>
      <c r="AT424" s="2789" t="n"/>
      <c r="AU424" s="2944" t="n"/>
      <c r="AV424" s="2857">
        <f>' SET Cost(staf+OS)'!O565/1000</f>
        <v/>
      </c>
      <c r="AW424" s="2951" t="n"/>
      <c r="AX424" s="2789" t="n"/>
      <c r="AY424" s="2864" t="n"/>
      <c r="AZ424" s="2857">
        <f>SUM(C424:AW424)</f>
        <v/>
      </c>
      <c r="BA424" s="2864" t="n"/>
    </row>
    <row customFormat="1" hidden="1" outlineLevel="1" r="425" s="2216" spans="1:55">
      <c r="A425" s="2863" t="s">
        <v>368</v>
      </c>
      <c r="B425" s="2789" t="n"/>
      <c r="C425" s="2951" t="n"/>
      <c r="D425" s="2857">
        <f>' SET Cost(staf+OS)'!D566/1000</f>
        <v/>
      </c>
      <c r="E425" s="2944" t="n"/>
      <c r="F425" s="2945" t="n"/>
      <c r="G425" s="2944" t="n"/>
      <c r="H425" s="2857">
        <f>' SET Cost(staf+OS)'!E566/1000</f>
        <v/>
      </c>
      <c r="I425" s="2944" t="n"/>
      <c r="J425" s="2789" t="n"/>
      <c r="K425" s="2944" t="n"/>
      <c r="L425" s="2857">
        <f>' SET Cost(staf+OS)'!F566/1000</f>
        <v/>
      </c>
      <c r="M425" s="2944" t="n"/>
      <c r="N425" s="2799" t="n"/>
      <c r="O425" s="2944" t="n"/>
      <c r="P425" s="2857">
        <f>' SET Cost(staf+OS)'!G566/1000</f>
        <v/>
      </c>
      <c r="Q425" s="2944" t="n"/>
      <c r="R425" s="2789" t="n"/>
      <c r="S425" s="2944" t="n"/>
      <c r="T425" s="2857">
        <f>' SET Cost(staf+OS)'!H566/1000</f>
        <v/>
      </c>
      <c r="U425" s="2944" t="n"/>
      <c r="V425" s="2799" t="n"/>
      <c r="W425" s="2944" t="n"/>
      <c r="X425" s="2857">
        <f>' SET Cost(staf+OS)'!I566/1000</f>
        <v/>
      </c>
      <c r="Y425" s="2944" t="n"/>
      <c r="Z425" s="2799" t="n"/>
      <c r="AA425" s="2944" t="n"/>
      <c r="AB425" s="2857">
        <f>' SET Cost(staf+OS)'!J566/1000</f>
        <v/>
      </c>
      <c r="AC425" s="2944" t="n"/>
      <c r="AD425" s="2799" t="n"/>
      <c r="AE425" s="2944" t="n"/>
      <c r="AF425" s="2857">
        <f>' SET Cost(staf+OS)'!K566/1000</f>
        <v/>
      </c>
      <c r="AG425" s="2944" t="n"/>
      <c r="AH425" s="2799" t="n"/>
      <c r="AI425" s="2944" t="n"/>
      <c r="AJ425" s="2857">
        <f>' SET Cost(staf+OS)'!L566/1000</f>
        <v/>
      </c>
      <c r="AK425" s="2944" t="n"/>
      <c r="AL425" s="2789" t="n"/>
      <c r="AM425" s="2944" t="n"/>
      <c r="AN425" s="2857">
        <f>' SET Cost(staf+OS)'!M566/1000</f>
        <v/>
      </c>
      <c r="AO425" s="2944" t="n"/>
      <c r="AP425" s="2789" t="n"/>
      <c r="AQ425" s="2944" t="n"/>
      <c r="AR425" s="2857">
        <f>' SET Cost(staf+OS)'!N566/1000</f>
        <v/>
      </c>
      <c r="AS425" s="2944" t="n"/>
      <c r="AT425" s="2789" t="n"/>
      <c r="AU425" s="2944" t="n"/>
      <c r="AV425" s="2857">
        <f>' SET Cost(staf+OS)'!O566/1000</f>
        <v/>
      </c>
      <c r="AW425" s="2951" t="n"/>
      <c r="AX425" s="2789" t="n"/>
      <c r="AY425" s="2864" t="n"/>
      <c r="AZ425" s="2857">
        <f>SUM(C425:AW425)</f>
        <v/>
      </c>
      <c r="BA425" s="2864" t="n"/>
    </row>
    <row hidden="1" outlineLevel="1" r="426" s="1843" spans="1:55">
      <c r="A426" s="2860" t="s">
        <v>369</v>
      </c>
      <c r="B426" s="2789" t="n"/>
      <c r="C426" s="2944" t="n"/>
      <c r="D426" s="2857">
        <f>' SET Cost(staf+OS)'!D567/1000</f>
        <v/>
      </c>
      <c r="E426" s="2944" t="n"/>
      <c r="F426" s="2945" t="n"/>
      <c r="G426" s="2944" t="n"/>
      <c r="H426" s="2857">
        <f>' SET Cost(staf+OS)'!E567/1000</f>
        <v/>
      </c>
      <c r="I426" s="2944" t="n"/>
      <c r="J426" s="2789" t="n"/>
      <c r="K426" s="2944" t="n"/>
      <c r="L426" s="2857">
        <f>' SET Cost(staf+OS)'!F567/1000</f>
        <v/>
      </c>
      <c r="M426" s="2944" t="n"/>
      <c r="N426" s="2799" t="n"/>
      <c r="O426" s="2944" t="n"/>
      <c r="P426" s="2857">
        <f>' SET Cost(staf+OS)'!G567/1000</f>
        <v/>
      </c>
      <c r="Q426" s="2944" t="n"/>
      <c r="R426" s="2789" t="n"/>
      <c r="S426" s="2944" t="n"/>
      <c r="T426" s="2857">
        <f>' SET Cost(staf+OS)'!H567/1000</f>
        <v/>
      </c>
      <c r="U426" s="2944" t="n"/>
      <c r="V426" s="2799" t="n"/>
      <c r="W426" s="2944" t="n"/>
      <c r="X426" s="2857">
        <f>' SET Cost(staf+OS)'!I567/1000</f>
        <v/>
      </c>
      <c r="Y426" s="2944" t="n"/>
      <c r="Z426" s="2799" t="n"/>
      <c r="AA426" s="2944" t="n"/>
      <c r="AB426" s="2857">
        <f>' SET Cost(staf+OS)'!J567/1000</f>
        <v/>
      </c>
      <c r="AC426" s="2944" t="n"/>
      <c r="AD426" s="2799" t="n"/>
      <c r="AE426" s="2944" t="n"/>
      <c r="AF426" s="2857">
        <f>' SET Cost(staf+OS)'!K567/1000</f>
        <v/>
      </c>
      <c r="AG426" s="2944" t="n"/>
      <c r="AH426" s="2799" t="n"/>
      <c r="AI426" s="2944" t="n"/>
      <c r="AJ426" s="2857">
        <f>' SET Cost(staf+OS)'!L567/1000</f>
        <v/>
      </c>
      <c r="AK426" s="2944" t="n"/>
      <c r="AL426" s="2789" t="n"/>
      <c r="AM426" s="2944" t="n"/>
      <c r="AN426" s="2857">
        <f>' SET Cost(staf+OS)'!M567/1000</f>
        <v/>
      </c>
      <c r="AO426" s="2944" t="n"/>
      <c r="AP426" s="2789" t="n"/>
      <c r="AQ426" s="2944" t="n"/>
      <c r="AR426" s="2857">
        <f>' SET Cost(staf+OS)'!N567/1000</f>
        <v/>
      </c>
      <c r="AS426" s="2944" t="n"/>
      <c r="AT426" s="2789" t="n"/>
      <c r="AU426" s="2944" t="n"/>
      <c r="AV426" s="2857">
        <f>' SET Cost(staf+OS)'!O567/1000</f>
        <v/>
      </c>
      <c r="AW426" s="2944" t="n"/>
      <c r="AX426" s="2789" t="n"/>
      <c r="AY426" s="2857" t="n"/>
      <c r="AZ426" s="2857">
        <f>SUM(C426:AW426)</f>
        <v/>
      </c>
      <c r="BA426" s="2857" t="n"/>
    </row>
    <row hidden="1" outlineLevel="1" r="427" s="1843" spans="1:55">
      <c r="A427" s="2859" t="s">
        <v>370</v>
      </c>
      <c r="B427" s="2789" t="n"/>
      <c r="C427" s="2946" t="n"/>
      <c r="D427" s="2857">
        <f>' SET Cost(staf+OS)'!D568/1000</f>
        <v/>
      </c>
      <c r="E427" s="2944" t="n"/>
      <c r="F427" s="2945" t="n"/>
      <c r="G427" s="2944" t="n"/>
      <c r="H427" s="2857">
        <f>' SET Cost(staf+OS)'!E568/1000</f>
        <v/>
      </c>
      <c r="I427" s="2944" t="n"/>
      <c r="J427" s="2789" t="n"/>
      <c r="K427" s="2944" t="n"/>
      <c r="L427" s="2857">
        <f>' SET Cost(staf+OS)'!F568/1000</f>
        <v/>
      </c>
      <c r="M427" s="2944" t="n"/>
      <c r="N427" s="2799" t="n"/>
      <c r="O427" s="2944" t="n"/>
      <c r="P427" s="2857">
        <f>' SET Cost(staf+OS)'!G568/1000</f>
        <v/>
      </c>
      <c r="Q427" s="2944" t="n"/>
      <c r="R427" s="2789" t="n"/>
      <c r="S427" s="2944" t="n"/>
      <c r="T427" s="2857">
        <f>' SET Cost(staf+OS)'!H568/1000</f>
        <v/>
      </c>
      <c r="U427" s="2944" t="n"/>
      <c r="V427" s="2799" t="n"/>
      <c r="W427" s="2944" t="n"/>
      <c r="X427" s="2857">
        <f>' SET Cost(staf+OS)'!I568/1000</f>
        <v/>
      </c>
      <c r="Y427" s="2944" t="n"/>
      <c r="Z427" s="2799" t="n"/>
      <c r="AA427" s="2944" t="n"/>
      <c r="AB427" s="2857">
        <f>' SET Cost(staf+OS)'!J568/1000</f>
        <v/>
      </c>
      <c r="AC427" s="2944" t="n"/>
      <c r="AD427" s="2799" t="n"/>
      <c r="AE427" s="2944" t="n"/>
      <c r="AF427" s="2857">
        <f>' SET Cost(staf+OS)'!K568/1000</f>
        <v/>
      </c>
      <c r="AG427" s="2944" t="n"/>
      <c r="AH427" s="2799" t="n"/>
      <c r="AI427" s="2944" t="n"/>
      <c r="AJ427" s="2857">
        <f>' SET Cost(staf+OS)'!L568/1000</f>
        <v/>
      </c>
      <c r="AK427" s="2944" t="n"/>
      <c r="AL427" s="2789" t="n"/>
      <c r="AM427" s="2944" t="n"/>
      <c r="AN427" s="2857">
        <f>' SET Cost(staf+OS)'!M568/1000</f>
        <v/>
      </c>
      <c r="AO427" s="2944" t="n"/>
      <c r="AP427" s="2789" t="n"/>
      <c r="AQ427" s="2944" t="n"/>
      <c r="AR427" s="2857">
        <f>' SET Cost(staf+OS)'!N568/1000</f>
        <v/>
      </c>
      <c r="AS427" s="2944" t="n"/>
      <c r="AT427" s="2789" t="n"/>
      <c r="AU427" s="2944" t="n"/>
      <c r="AV427" s="2857">
        <f>' SET Cost(staf+OS)'!O568/1000</f>
        <v/>
      </c>
      <c r="AW427" s="2946" t="n"/>
      <c r="AX427" s="2789" t="n"/>
      <c r="AY427" s="2858" t="n"/>
      <c r="AZ427" s="2857">
        <f>SUM(C427:AW427)</f>
        <v/>
      </c>
      <c r="BA427" s="2858" t="n"/>
    </row>
    <row customFormat="1" hidden="1" outlineLevel="1" r="428" s="2216" spans="1:55">
      <c r="A428" s="2863" t="s">
        <v>371</v>
      </c>
      <c r="B428" s="2789" t="n"/>
      <c r="C428" s="2951" t="n"/>
      <c r="D428" s="2857">
        <f>' SET Cost(staf+OS)'!D569/1000</f>
        <v/>
      </c>
      <c r="E428" s="2944" t="n"/>
      <c r="F428" s="2945" t="n"/>
      <c r="G428" s="2944" t="n"/>
      <c r="H428" s="2857">
        <f>' SET Cost(staf+OS)'!E569/1000</f>
        <v/>
      </c>
      <c r="I428" s="2944" t="n"/>
      <c r="J428" s="2789" t="n"/>
      <c r="K428" s="2944" t="n"/>
      <c r="L428" s="2857">
        <f>' SET Cost(staf+OS)'!F569/1000</f>
        <v/>
      </c>
      <c r="M428" s="2944" t="n"/>
      <c r="N428" s="2799" t="n"/>
      <c r="O428" s="2944" t="n"/>
      <c r="P428" s="2857">
        <f>' SET Cost(staf+OS)'!G569/1000</f>
        <v/>
      </c>
      <c r="Q428" s="2944" t="n"/>
      <c r="R428" s="2789" t="n"/>
      <c r="S428" s="2944" t="n"/>
      <c r="T428" s="2857">
        <f>' SET Cost(staf+OS)'!H569/1000</f>
        <v/>
      </c>
      <c r="U428" s="2944" t="n"/>
      <c r="V428" s="2799" t="n"/>
      <c r="W428" s="2944" t="n"/>
      <c r="X428" s="2857">
        <f>' SET Cost(staf+OS)'!I569/1000</f>
        <v/>
      </c>
      <c r="Y428" s="2944" t="n"/>
      <c r="Z428" s="2799" t="n"/>
      <c r="AA428" s="2944" t="n"/>
      <c r="AB428" s="2857">
        <f>' SET Cost(staf+OS)'!J569/1000</f>
        <v/>
      </c>
      <c r="AC428" s="2944" t="n"/>
      <c r="AD428" s="2799" t="n"/>
      <c r="AE428" s="2944" t="n"/>
      <c r="AF428" s="2857">
        <f>' SET Cost(staf+OS)'!K569/1000</f>
        <v/>
      </c>
      <c r="AG428" s="2944" t="n"/>
      <c r="AH428" s="2799" t="n"/>
      <c r="AI428" s="2944" t="n"/>
      <c r="AJ428" s="2857">
        <f>' SET Cost(staf+OS)'!L569/1000</f>
        <v/>
      </c>
      <c r="AK428" s="2944" t="n"/>
      <c r="AL428" s="2789" t="n"/>
      <c r="AM428" s="2944" t="n"/>
      <c r="AN428" s="2857">
        <f>' SET Cost(staf+OS)'!M569/1000</f>
        <v/>
      </c>
      <c r="AO428" s="2944" t="n"/>
      <c r="AP428" s="2789" t="n"/>
      <c r="AQ428" s="2944" t="n"/>
      <c r="AR428" s="2857">
        <f>' SET Cost(staf+OS)'!N569/1000</f>
        <v/>
      </c>
      <c r="AS428" s="2944" t="n"/>
      <c r="AT428" s="2789" t="n"/>
      <c r="AU428" s="2944" t="n"/>
      <c r="AV428" s="2857">
        <f>' SET Cost(staf+OS)'!O569/1000</f>
        <v/>
      </c>
      <c r="AW428" s="2946" t="n"/>
      <c r="AX428" s="2789" t="n"/>
      <c r="AY428" s="2858" t="n"/>
      <c r="AZ428" s="2857">
        <f>SUM(C428:AW428)</f>
        <v/>
      </c>
      <c r="BA428" s="2864" t="n"/>
    </row>
    <row hidden="1" outlineLevel="1" r="429" s="1843" spans="1:55">
      <c r="A429" s="2859" t="s">
        <v>372</v>
      </c>
      <c r="B429" s="2789" t="n"/>
      <c r="C429" s="2946" t="n"/>
      <c r="D429" s="2857">
        <f>' SET Cost(staf+OS)'!D570/1000</f>
        <v/>
      </c>
      <c r="E429" s="2944" t="n"/>
      <c r="F429" s="2945" t="n"/>
      <c r="G429" s="2944" t="n"/>
      <c r="H429" s="2857">
        <f>' SET Cost(staf+OS)'!E570/1000</f>
        <v/>
      </c>
      <c r="I429" s="2944" t="n"/>
      <c r="J429" s="2789" t="n"/>
      <c r="K429" s="2944" t="n"/>
      <c r="L429" s="2857">
        <f>' SET Cost(staf+OS)'!F570/1000</f>
        <v/>
      </c>
      <c r="M429" s="2944" t="n"/>
      <c r="N429" s="2799" t="n"/>
      <c r="O429" s="2944" t="n"/>
      <c r="P429" s="2857">
        <f>' SET Cost(staf+OS)'!G570/1000</f>
        <v/>
      </c>
      <c r="Q429" s="2944" t="n"/>
      <c r="R429" s="2789" t="n"/>
      <c r="S429" s="2944" t="n"/>
      <c r="T429" s="2857">
        <f>' SET Cost(staf+OS)'!H570/1000</f>
        <v/>
      </c>
      <c r="U429" s="2944" t="n"/>
      <c r="V429" s="2799" t="n"/>
      <c r="W429" s="2944" t="n"/>
      <c r="X429" s="2857">
        <f>' SET Cost(staf+OS)'!I570/1000</f>
        <v/>
      </c>
      <c r="Y429" s="2944" t="n"/>
      <c r="Z429" s="2799" t="n"/>
      <c r="AA429" s="2944" t="n"/>
      <c r="AB429" s="2857">
        <f>' SET Cost(staf+OS)'!J570/1000</f>
        <v/>
      </c>
      <c r="AC429" s="2944" t="n"/>
      <c r="AD429" s="2799" t="n"/>
      <c r="AE429" s="2944" t="n"/>
      <c r="AF429" s="2857">
        <f>' SET Cost(staf+OS)'!K570/1000</f>
        <v/>
      </c>
      <c r="AG429" s="2944" t="n"/>
      <c r="AH429" s="2799" t="n"/>
      <c r="AI429" s="2944" t="n"/>
      <c r="AJ429" s="2857">
        <f>' SET Cost(staf+OS)'!L570/1000</f>
        <v/>
      </c>
      <c r="AK429" s="2944" t="n"/>
      <c r="AL429" s="2789" t="n"/>
      <c r="AM429" s="2944" t="n"/>
      <c r="AN429" s="2857">
        <f>' SET Cost(staf+OS)'!M570/1000</f>
        <v/>
      </c>
      <c r="AO429" s="2944" t="n"/>
      <c r="AP429" s="2789" t="n"/>
      <c r="AQ429" s="2944" t="n"/>
      <c r="AR429" s="2857">
        <f>' SET Cost(staf+OS)'!N570/1000</f>
        <v/>
      </c>
      <c r="AS429" s="2944" t="n"/>
      <c r="AT429" s="2789" t="n"/>
      <c r="AU429" s="2944" t="n"/>
      <c r="AV429" s="2857">
        <f>' SET Cost(staf+OS)'!O570/1000</f>
        <v/>
      </c>
      <c r="AW429" s="2946" t="n"/>
      <c r="AX429" s="2789" t="n"/>
      <c r="AY429" s="2858" t="n"/>
      <c r="AZ429" s="2857">
        <f>SUM(C429:AW429)</f>
        <v/>
      </c>
      <c r="BA429" s="2858" t="n"/>
    </row>
    <row hidden="1" outlineLevel="1" r="430" s="1843" spans="1:55">
      <c r="A430" s="2860" t="s">
        <v>89</v>
      </c>
      <c r="B430" s="2789" t="n"/>
      <c r="C430" s="2857">
        <f>'FY18 SET'!G51/1000</f>
        <v/>
      </c>
      <c r="D430" s="2944" t="n"/>
      <c r="E430" s="2944" t="n"/>
      <c r="F430" s="2945" t="n"/>
      <c r="G430" s="2857">
        <f>'FY18 SET'!H51/1000</f>
        <v/>
      </c>
      <c r="H430" s="2944" t="n"/>
      <c r="I430" s="2944" t="n"/>
      <c r="J430" s="2789" t="n"/>
      <c r="K430" s="2857">
        <f>'FY18 SET'!I51/1000</f>
        <v/>
      </c>
      <c r="L430" s="2944" t="n"/>
      <c r="M430" s="2944" t="n"/>
      <c r="N430" s="2799" t="n"/>
      <c r="O430" s="2857">
        <f>'FY18 SET'!J51/1000</f>
        <v/>
      </c>
      <c r="P430" s="2944" t="n"/>
      <c r="Q430" s="2944" t="n"/>
      <c r="R430" s="2789" t="n"/>
      <c r="S430" s="2857">
        <f>'FY18 SET'!K51/1000</f>
        <v/>
      </c>
      <c r="T430" s="2944" t="n"/>
      <c r="U430" s="2944" t="n"/>
      <c r="V430" s="2799" t="n"/>
      <c r="W430" s="2857">
        <f>'FY18 SET'!L51/1000</f>
        <v/>
      </c>
      <c r="X430" s="2944" t="n"/>
      <c r="Y430" s="2944" t="n"/>
      <c r="Z430" s="2799" t="n"/>
      <c r="AA430" s="2857">
        <f>'FY18 SET'!N51/1000</f>
        <v/>
      </c>
      <c r="AB430" s="2944" t="n"/>
      <c r="AC430" s="2944" t="n"/>
      <c r="AD430" s="2799" t="n"/>
      <c r="AE430" s="2857">
        <f>'FY18 SET'!O51/1000</f>
        <v/>
      </c>
      <c r="AF430" s="2944" t="n"/>
      <c r="AG430" s="2944" t="n"/>
      <c r="AH430" s="2799" t="n"/>
      <c r="AI430" s="2857">
        <f>'FY18 SET'!P51/1000</f>
        <v/>
      </c>
      <c r="AJ430" s="2944" t="n"/>
      <c r="AK430" s="2944" t="n"/>
      <c r="AL430" s="2789" t="n"/>
      <c r="AM430" s="2857">
        <f>'FY18 SET'!Q51/1000</f>
        <v/>
      </c>
      <c r="AN430" s="2944" t="n"/>
      <c r="AO430" s="2944" t="n"/>
      <c r="AP430" s="2789" t="n"/>
      <c r="AQ430" s="2857">
        <f>'FY18 SET'!R51/1000</f>
        <v/>
      </c>
      <c r="AR430" s="2944" t="n"/>
      <c r="AS430" s="2944" t="n"/>
      <c r="AT430" s="2789" t="n"/>
      <c r="AU430" s="2857">
        <f>'FY18 SET'!S51/1000</f>
        <v/>
      </c>
      <c r="AV430" s="2944" t="n"/>
      <c r="AW430" s="2944" t="n"/>
      <c r="AX430" s="2789" t="n"/>
      <c r="AY430" s="2857">
        <f>SUM(B430:AV430)</f>
        <v/>
      </c>
      <c r="AZ430" s="2857" t="n"/>
      <c r="BA430" s="2857" t="n"/>
    </row>
    <row hidden="1" outlineLevel="1" r="431" s="1843" spans="1:55">
      <c r="A431" s="2860" t="s">
        <v>153</v>
      </c>
      <c r="B431" s="2789" t="n"/>
      <c r="C431" s="2857" t="n"/>
      <c r="D431" s="2857" t="n"/>
      <c r="E431" s="2857">
        <f>SUM(C413:C431)-SUM(D413:D431)</f>
        <v/>
      </c>
      <c r="F431" s="2945" t="n"/>
      <c r="G431" s="2857" t="n"/>
      <c r="H431" s="2857" t="n"/>
      <c r="I431" s="2857">
        <f>SUM(G413:G431)-SUM(H413:H431)</f>
        <v/>
      </c>
      <c r="J431" s="2789" t="n"/>
      <c r="K431" s="2857" t="n"/>
      <c r="L431" s="2857" t="n"/>
      <c r="M431" s="2857">
        <f>SUM(K413:K431)-SUM(L413:L431)</f>
        <v/>
      </c>
      <c r="N431" s="2799" t="n"/>
      <c r="O431" s="2857" t="n"/>
      <c r="P431" s="2857" t="n"/>
      <c r="Q431" s="2857">
        <f>SUM(O413:O431)-SUM(P413:P431)</f>
        <v/>
      </c>
      <c r="R431" s="2789" t="n"/>
      <c r="S431" s="2857" t="n"/>
      <c r="T431" s="2857" t="n"/>
      <c r="U431" s="2857">
        <f>SUM(S413:S431)-SUM(T413:T431)</f>
        <v/>
      </c>
      <c r="V431" s="2799" t="n"/>
      <c r="W431" s="2857" t="n"/>
      <c r="X431" s="2857" t="n"/>
      <c r="Y431" s="2857">
        <f>SUM(W413:W431)-SUM(X413:X431)</f>
        <v/>
      </c>
      <c r="Z431" s="2799" t="n"/>
      <c r="AA431" s="2857" t="n"/>
      <c r="AB431" s="2857" t="n"/>
      <c r="AC431" s="2857">
        <f>SUM(AA413:AA431)-SUM(AB413:AB431)</f>
        <v/>
      </c>
      <c r="AD431" s="2799" t="n"/>
      <c r="AE431" s="2857" t="n"/>
      <c r="AF431" s="2857" t="n"/>
      <c r="AG431" s="2857">
        <f>SUM(AE413:AE431)-SUM(AF413:AF431)</f>
        <v/>
      </c>
      <c r="AH431" s="2799" t="n"/>
      <c r="AI431" s="2857" t="n"/>
      <c r="AJ431" s="2857" t="n"/>
      <c r="AK431" s="2857">
        <f>SUM(AI413:AI431)-SUM(AJ413:AJ431)</f>
        <v/>
      </c>
      <c r="AL431" s="2789" t="n"/>
      <c r="AM431" s="2857" t="n"/>
      <c r="AN431" s="2857" t="n"/>
      <c r="AO431" s="2857">
        <f>SUM(AM413:AM431)-SUM(AN413:AN431)</f>
        <v/>
      </c>
      <c r="AP431" s="2789" t="n"/>
      <c r="AQ431" s="2857" t="n"/>
      <c r="AR431" s="2857" t="n"/>
      <c r="AS431" s="2857">
        <f>SUM(AQ413:AQ431)-SUM(AR413:AR431)</f>
        <v/>
      </c>
      <c r="AT431" s="2789" t="n"/>
      <c r="AU431" s="2857" t="n"/>
      <c r="AV431" s="2857" t="n"/>
      <c r="AW431" s="2857">
        <f>SUM(AU413:AU431)-SUM(AV413:AV431)</f>
        <v/>
      </c>
      <c r="AX431" s="2789" t="n"/>
      <c r="AY431" s="2857" t="n"/>
      <c r="AZ431" s="2857" t="n"/>
      <c r="BA431" s="2858">
        <f>SUM(D431:AY431)</f>
        <v/>
      </c>
    </row>
    <row hidden="1" outlineLevel="1" r="432" s="1843" spans="1:55">
      <c r="A432" s="2952" t="s">
        <v>173</v>
      </c>
      <c r="B432" s="2806" t="n"/>
      <c r="C432" s="2953">
        <f>SUM(C413:C431)</f>
        <v/>
      </c>
      <c r="D432" s="2953">
        <f>SUM(D413:D431)</f>
        <v/>
      </c>
      <c r="E432" s="2953">
        <f>SUM(E431:E431)</f>
        <v/>
      </c>
      <c r="F432" s="2954" t="n"/>
      <c r="G432" s="2953">
        <f>SUM(G413:G431)</f>
        <v/>
      </c>
      <c r="H432" s="2953">
        <f>SUM(H413:H431)</f>
        <v/>
      </c>
      <c r="I432" s="2953">
        <f>SUM(I431:I431)</f>
        <v/>
      </c>
      <c r="J432" s="2806" t="n"/>
      <c r="K432" s="2953">
        <f>SUM(K413:K431)</f>
        <v/>
      </c>
      <c r="L432" s="2953">
        <f>SUM(L413:L431)</f>
        <v/>
      </c>
      <c r="M432" s="2953">
        <f>SUM(M431:M431)</f>
        <v/>
      </c>
      <c r="N432" s="2802" t="n"/>
      <c r="O432" s="2953">
        <f>SUM(O413:O431)</f>
        <v/>
      </c>
      <c r="P432" s="2953">
        <f>SUM(P413:P431)</f>
        <v/>
      </c>
      <c r="Q432" s="2953">
        <f>SUM(Q431:Q431)</f>
        <v/>
      </c>
      <c r="R432" s="2806" t="n"/>
      <c r="S432" s="2953">
        <f>SUM(S413:S431)</f>
        <v/>
      </c>
      <c r="T432" s="2953">
        <f>SUM(T413:T431)</f>
        <v/>
      </c>
      <c r="U432" s="2953">
        <f>SUM(U431:U431)</f>
        <v/>
      </c>
      <c r="V432" s="2802" t="n"/>
      <c r="W432" s="2953">
        <f>SUM(W413:W431)</f>
        <v/>
      </c>
      <c r="X432" s="2953">
        <f>SUM(X413:X431)</f>
        <v/>
      </c>
      <c r="Y432" s="2953">
        <f>SUM(Y431:Y431)</f>
        <v/>
      </c>
      <c r="Z432" s="2802" t="n"/>
      <c r="AA432" s="2953">
        <f>SUM(AA413:AA431)</f>
        <v/>
      </c>
      <c r="AB432" s="2953">
        <f>SUM(AB413:AB431)</f>
        <v/>
      </c>
      <c r="AC432" s="2953">
        <f>SUM(AC431:AC431)</f>
        <v/>
      </c>
      <c r="AD432" s="2802" t="n"/>
      <c r="AE432" s="2953">
        <f>SUM(AE413:AE431)</f>
        <v/>
      </c>
      <c r="AF432" s="2953">
        <f>SUM(AF413:AF431)</f>
        <v/>
      </c>
      <c r="AG432" s="2953">
        <f>SUM(AG431:AG431)</f>
        <v/>
      </c>
      <c r="AH432" s="2802" t="n"/>
      <c r="AI432" s="2953">
        <f>SUM(AI413:AI431)</f>
        <v/>
      </c>
      <c r="AJ432" s="2953">
        <f>SUM(AJ413:AJ431)</f>
        <v/>
      </c>
      <c r="AK432" s="2953">
        <f>SUM(AK431:AK431)</f>
        <v/>
      </c>
      <c r="AL432" s="2806" t="n"/>
      <c r="AM432" s="2953">
        <f>SUM(AM413:AM431)</f>
        <v/>
      </c>
      <c r="AN432" s="2953">
        <f>SUM(AN413:AN431)</f>
        <v/>
      </c>
      <c r="AO432" s="2953">
        <f>SUM(AO431:AO431)</f>
        <v/>
      </c>
      <c r="AP432" s="2806" t="n"/>
      <c r="AQ432" s="2953">
        <f>SUM(AQ413:AQ431)</f>
        <v/>
      </c>
      <c r="AR432" s="2953">
        <f>SUM(AR413:AR431)</f>
        <v/>
      </c>
      <c r="AS432" s="2953">
        <f>SUM(AS431:AS431)</f>
        <v/>
      </c>
      <c r="AT432" s="2806" t="n"/>
      <c r="AU432" s="2953">
        <f>SUM(AU413:AU431)</f>
        <v/>
      </c>
      <c r="AV432" s="2953">
        <f>SUM(AV413:AV431)</f>
        <v/>
      </c>
      <c r="AW432" s="2953">
        <f>SUM(AW431:AW431)</f>
        <v/>
      </c>
      <c r="AX432" s="2806" t="n"/>
      <c r="AY432" s="2952">
        <f>SUM(AY413:AY431)</f>
        <v/>
      </c>
      <c r="AZ432" s="2857">
        <f>SUM(AZ413:AZ431)</f>
        <v/>
      </c>
      <c r="BA432" s="2952">
        <f>SUM(BA431:BA431)</f>
        <v/>
      </c>
    </row>
    <row hidden="1" outlineLevel="1" r="433" s="1843" spans="1:55">
      <c r="A433" s="2952" t="s">
        <v>394</v>
      </c>
      <c r="B433" s="2806" t="n"/>
      <c r="C433" s="2955" t="n"/>
      <c r="D433" s="2953" t="n"/>
      <c r="E433" s="2956">
        <f>E432/C432</f>
        <v/>
      </c>
      <c r="F433" s="2954" t="n"/>
      <c r="G433" s="2955" t="n"/>
      <c r="H433" s="2953" t="n"/>
      <c r="I433" s="2956">
        <f>I432/G432</f>
        <v/>
      </c>
      <c r="J433" s="2806" t="n"/>
      <c r="K433" s="2955" t="n"/>
      <c r="L433" s="2953" t="n"/>
      <c r="M433" s="2956">
        <f>M432/K432</f>
        <v/>
      </c>
      <c r="N433" s="2808" t="n"/>
      <c r="O433" s="2955" t="n"/>
      <c r="P433" s="2953" t="n"/>
      <c r="Q433" s="2956">
        <f>Q432/O432</f>
        <v/>
      </c>
      <c r="R433" s="2806" t="n"/>
      <c r="S433" s="2955" t="n"/>
      <c r="T433" s="2953" t="n"/>
      <c r="U433" s="2956">
        <f>U432/S432</f>
        <v/>
      </c>
      <c r="V433" s="2808" t="n"/>
      <c r="W433" s="2955" t="n"/>
      <c r="X433" s="2953" t="n"/>
      <c r="Y433" s="2956">
        <f>Y432/W432</f>
        <v/>
      </c>
      <c r="Z433" s="2808" t="n"/>
      <c r="AA433" s="2955" t="n"/>
      <c r="AB433" s="2953" t="n"/>
      <c r="AC433" s="2956">
        <f>AC432/AA432</f>
        <v/>
      </c>
      <c r="AD433" s="2808" t="n"/>
      <c r="AE433" s="2955" t="n"/>
      <c r="AF433" s="2953" t="n"/>
      <c r="AG433" s="2956">
        <f>AG432/AE432</f>
        <v/>
      </c>
      <c r="AH433" s="2808" t="n"/>
      <c r="AI433" s="2955" t="n"/>
      <c r="AJ433" s="2953" t="n"/>
      <c r="AK433" s="2956">
        <f>AK432/AI432</f>
        <v/>
      </c>
      <c r="AL433" s="2806" t="n"/>
      <c r="AM433" s="2955" t="n"/>
      <c r="AN433" s="2953" t="n"/>
      <c r="AO433" s="2956">
        <f>AO432/AM432</f>
        <v/>
      </c>
      <c r="AP433" s="2806" t="n"/>
      <c r="AQ433" s="2955" t="n"/>
      <c r="AR433" s="2953" t="n"/>
      <c r="AS433" s="2956">
        <f>AS432/AQ432</f>
        <v/>
      </c>
      <c r="AT433" s="2806" t="n"/>
      <c r="AU433" s="2955" t="n"/>
      <c r="AV433" s="2953" t="n"/>
      <c r="AW433" s="2956">
        <f>AW432/AU432</f>
        <v/>
      </c>
      <c r="AX433" s="2806" t="n"/>
      <c r="AY433" s="2952" t="n"/>
      <c r="AZ433" s="2857" t="n"/>
      <c r="BA433" s="2956">
        <f>BA432/AY432</f>
        <v/>
      </c>
    </row>
    <row r="435" spans="1:55">
      <c r="A435" s="2957" t="s">
        <v>395</v>
      </c>
      <c r="B435" s="2958" t="n"/>
      <c r="C435" s="2959" t="s">
        <v>62</v>
      </c>
      <c r="F435" s="2958" t="n"/>
      <c r="G435" s="2959" t="s">
        <v>63</v>
      </c>
      <c r="J435" s="2958" t="n"/>
      <c r="K435" s="2959" t="s">
        <v>64</v>
      </c>
      <c r="N435" s="2960" t="n"/>
      <c r="O435" s="2959" t="s">
        <v>174</v>
      </c>
      <c r="R435" s="2958" t="n"/>
      <c r="S435" s="2959" t="s">
        <v>66</v>
      </c>
      <c r="V435" s="2960" t="n"/>
      <c r="W435" s="2959" t="s">
        <v>67</v>
      </c>
      <c r="Z435" s="2960" t="n"/>
      <c r="AA435" s="2959" t="s">
        <v>69</v>
      </c>
      <c r="AD435" s="2960" t="n"/>
      <c r="AE435" s="2959" t="s">
        <v>70</v>
      </c>
      <c r="AH435" s="2960" t="n"/>
      <c r="AI435" s="2959" t="s">
        <v>71</v>
      </c>
      <c r="AL435" s="2958" t="n"/>
      <c r="AM435" s="2959" t="s">
        <v>72</v>
      </c>
      <c r="AP435" s="2958" t="n"/>
      <c r="AQ435" s="2959" t="s">
        <v>73</v>
      </c>
      <c r="AT435" s="2958" t="n"/>
      <c r="AU435" s="2959" t="s">
        <v>74</v>
      </c>
      <c r="AX435" s="2958" t="n"/>
      <c r="AY435" s="2959" t="s">
        <v>173</v>
      </c>
    </row>
    <row r="436" spans="1:55">
      <c r="A436" s="2961" t="n"/>
      <c r="B436" s="2962" t="n"/>
      <c r="C436" s="2961" t="s">
        <v>89</v>
      </c>
      <c r="D436" s="2961" t="s">
        <v>152</v>
      </c>
      <c r="E436" s="2961" t="s">
        <v>153</v>
      </c>
      <c r="F436" s="2962" t="n"/>
      <c r="G436" s="2961" t="s">
        <v>89</v>
      </c>
      <c r="H436" s="2961" t="s">
        <v>152</v>
      </c>
      <c r="I436" s="2961" t="s">
        <v>153</v>
      </c>
      <c r="J436" s="2962" t="n"/>
      <c r="K436" s="2961" t="s">
        <v>89</v>
      </c>
      <c r="L436" s="2961" t="s">
        <v>152</v>
      </c>
      <c r="M436" s="2961" t="s">
        <v>153</v>
      </c>
      <c r="N436" s="2960" t="n"/>
      <c r="O436" s="2961" t="s">
        <v>89</v>
      </c>
      <c r="P436" s="2961" t="s">
        <v>152</v>
      </c>
      <c r="Q436" s="2961" t="s">
        <v>153</v>
      </c>
      <c r="R436" s="2962" t="n"/>
      <c r="S436" s="2961" t="s">
        <v>89</v>
      </c>
      <c r="T436" s="2961" t="s">
        <v>152</v>
      </c>
      <c r="U436" s="2961" t="s">
        <v>153</v>
      </c>
      <c r="V436" s="2960" t="n"/>
      <c r="W436" s="2961" t="s">
        <v>89</v>
      </c>
      <c r="X436" s="2961" t="s">
        <v>152</v>
      </c>
      <c r="Y436" s="2961" t="s">
        <v>153</v>
      </c>
      <c r="Z436" s="2960" t="n"/>
      <c r="AA436" s="2961" t="s">
        <v>89</v>
      </c>
      <c r="AB436" s="2961" t="s">
        <v>152</v>
      </c>
      <c r="AC436" s="2961" t="s">
        <v>153</v>
      </c>
      <c r="AD436" s="2960" t="n"/>
      <c r="AE436" s="2961" t="s">
        <v>89</v>
      </c>
      <c r="AF436" s="2961" t="s">
        <v>152</v>
      </c>
      <c r="AG436" s="2961" t="s">
        <v>153</v>
      </c>
      <c r="AH436" s="2960" t="n"/>
      <c r="AI436" s="2961" t="s">
        <v>89</v>
      </c>
      <c r="AJ436" s="2961" t="s">
        <v>152</v>
      </c>
      <c r="AK436" s="2961" t="s">
        <v>153</v>
      </c>
      <c r="AL436" s="2962" t="n"/>
      <c r="AM436" s="2961" t="s">
        <v>89</v>
      </c>
      <c r="AN436" s="2961" t="s">
        <v>152</v>
      </c>
      <c r="AO436" s="2961" t="s">
        <v>153</v>
      </c>
      <c r="AP436" s="2962" t="n"/>
      <c r="AQ436" s="2961" t="s">
        <v>89</v>
      </c>
      <c r="AR436" s="2961" t="s">
        <v>152</v>
      </c>
      <c r="AS436" s="2961" t="s">
        <v>153</v>
      </c>
      <c r="AT436" s="2962" t="n"/>
      <c r="AU436" s="2961" t="s">
        <v>89</v>
      </c>
      <c r="AV436" s="2961" t="s">
        <v>152</v>
      </c>
      <c r="AW436" s="2961" t="s">
        <v>153</v>
      </c>
      <c r="AX436" s="2962" t="n"/>
      <c r="AY436" s="2961" t="s">
        <v>89</v>
      </c>
      <c r="AZ436" s="2961" t="s">
        <v>152</v>
      </c>
      <c r="BA436" s="2961" t="s">
        <v>153</v>
      </c>
    </row>
    <row r="437" spans="1:55">
      <c r="A437" s="2963" t="s">
        <v>187</v>
      </c>
      <c r="B437" s="2964" t="n"/>
      <c r="C437" s="2963" t="n"/>
      <c r="D437" s="2963">
        <f>' SET Cost(staf+OS)'!D588/1000</f>
        <v/>
      </c>
      <c r="E437" s="2963" t="n"/>
      <c r="F437" s="2964" t="n"/>
      <c r="G437" s="2963" t="n"/>
      <c r="H437" s="2963">
        <f>' SET Cost(staf+OS)'!E588/1000</f>
        <v/>
      </c>
      <c r="I437" s="2963" t="n"/>
      <c r="J437" s="2964" t="n"/>
      <c r="K437" s="2963" t="n"/>
      <c r="L437" s="2963">
        <f>' SET Cost(staf+OS)'!F588/1000</f>
        <v/>
      </c>
      <c r="M437" s="2963" t="n"/>
      <c r="N437" s="2960" t="n"/>
      <c r="O437" s="2963" t="n"/>
      <c r="P437" s="2963">
        <f>' SET Cost(staf+OS)'!G588/1000</f>
        <v/>
      </c>
      <c r="Q437" s="2963" t="n"/>
      <c r="R437" s="2964" t="n"/>
      <c r="S437" s="2963" t="n"/>
      <c r="T437" s="2963">
        <f>' SET Cost(staf+OS)'!H588/1000</f>
        <v/>
      </c>
      <c r="U437" s="2963" t="n"/>
      <c r="V437" s="2960" t="n"/>
      <c r="W437" s="2963" t="n"/>
      <c r="X437" s="2963">
        <f>' SET Cost(staf+OS)'!I588/1000</f>
        <v/>
      </c>
      <c r="Y437" s="2963" t="n"/>
      <c r="Z437" s="2960" t="n"/>
      <c r="AA437" s="2963" t="n"/>
      <c r="AB437" s="2963">
        <f>' SET Cost(staf+OS)'!J588/1000</f>
        <v/>
      </c>
      <c r="AC437" s="2963" t="n"/>
      <c r="AD437" s="2960" t="n"/>
      <c r="AE437" s="2963" t="n"/>
      <c r="AF437" s="2963">
        <f>' SET Cost(staf+OS)'!K588/1000</f>
        <v/>
      </c>
      <c r="AG437" s="2963" t="n"/>
      <c r="AH437" s="2960" t="n"/>
      <c r="AI437" s="2963" t="n"/>
      <c r="AJ437" s="2963">
        <f>' SET Cost(staf+OS)'!L588/1000</f>
        <v/>
      </c>
      <c r="AK437" s="2963" t="n"/>
      <c r="AL437" s="2964" t="n"/>
      <c r="AM437" s="2963" t="n"/>
      <c r="AN437" s="2963">
        <f>' SET Cost(staf+OS)'!M588/1000</f>
        <v/>
      </c>
      <c r="AO437" s="2963" t="n"/>
      <c r="AP437" s="2964" t="n"/>
      <c r="AQ437" s="2963" t="n"/>
      <c r="AR437" s="2963">
        <f>' SET Cost(staf+OS)'!N588/1000</f>
        <v/>
      </c>
      <c r="AS437" s="2963" t="n"/>
      <c r="AT437" s="2964" t="n"/>
      <c r="AU437" s="2963" t="n"/>
      <c r="AV437" s="2963">
        <f>' SET Cost(staf+OS)'!O588/1000</f>
        <v/>
      </c>
      <c r="AW437" s="2963" t="n"/>
      <c r="AX437" s="2964" t="n"/>
      <c r="AY437" s="2963" t="n"/>
      <c r="AZ437" s="2963">
        <f>SUM(C437:AW437)</f>
        <v/>
      </c>
      <c r="BA437" s="2963" t="n"/>
    </row>
    <row r="438" spans="1:55">
      <c r="A438" s="2963" t="s">
        <v>189</v>
      </c>
      <c r="B438" s="2964" t="n"/>
      <c r="C438" s="2965" t="n"/>
      <c r="D438" s="2963">
        <f>' SET Cost(staf+OS)'!D589/1000</f>
        <v/>
      </c>
      <c r="E438" s="2963" t="n"/>
      <c r="F438" s="2964" t="n"/>
      <c r="G438" s="2963" t="n"/>
      <c r="H438" s="2963">
        <f>' SET Cost(staf+OS)'!E589/1000</f>
        <v/>
      </c>
      <c r="I438" s="2963" t="n"/>
      <c r="J438" s="2964" t="n"/>
      <c r="K438" s="2963" t="n"/>
      <c r="L438" s="2963">
        <f>' SET Cost(staf+OS)'!F589/1000</f>
        <v/>
      </c>
      <c r="M438" s="2963" t="n"/>
      <c r="N438" s="2960" t="n"/>
      <c r="O438" s="2963" t="n"/>
      <c r="P438" s="2963">
        <f>' SET Cost(staf+OS)'!G589/1000</f>
        <v/>
      </c>
      <c r="Q438" s="2963" t="n"/>
      <c r="R438" s="2964" t="n"/>
      <c r="S438" s="2963" t="n"/>
      <c r="T438" s="2963">
        <f>' SET Cost(staf+OS)'!H589/1000</f>
        <v/>
      </c>
      <c r="U438" s="2963" t="n"/>
      <c r="V438" s="2960" t="n"/>
      <c r="W438" s="2963" t="n"/>
      <c r="X438" s="2963">
        <f>' SET Cost(staf+OS)'!I589/1000</f>
        <v/>
      </c>
      <c r="Y438" s="2963" t="n"/>
      <c r="Z438" s="2960" t="n"/>
      <c r="AA438" s="2963" t="n"/>
      <c r="AB438" s="2963">
        <f>' SET Cost(staf+OS)'!J589/1000</f>
        <v/>
      </c>
      <c r="AC438" s="2963" t="n"/>
      <c r="AD438" s="2960" t="n"/>
      <c r="AE438" s="2963" t="n"/>
      <c r="AF438" s="2963">
        <f>' SET Cost(staf+OS)'!K589/1000</f>
        <v/>
      </c>
      <c r="AG438" s="2963" t="n"/>
      <c r="AH438" s="2960" t="n"/>
      <c r="AI438" s="2963" t="n"/>
      <c r="AJ438" s="2963">
        <f>' SET Cost(staf+OS)'!L589/1000</f>
        <v/>
      </c>
      <c r="AK438" s="2963" t="n"/>
      <c r="AL438" s="2964" t="n"/>
      <c r="AM438" s="2963" t="n"/>
      <c r="AN438" s="2963">
        <f>' SET Cost(staf+OS)'!M589/1000</f>
        <v/>
      </c>
      <c r="AO438" s="2963" t="n"/>
      <c r="AP438" s="2964" t="n"/>
      <c r="AQ438" s="2963" t="n"/>
      <c r="AR438" s="2963">
        <f>' SET Cost(staf+OS)'!N589/1000</f>
        <v/>
      </c>
      <c r="AS438" s="2963" t="n"/>
      <c r="AT438" s="2964" t="n"/>
      <c r="AU438" s="2963" t="n"/>
      <c r="AV438" s="2963">
        <f>' SET Cost(staf+OS)'!O589/1000</f>
        <v/>
      </c>
      <c r="AW438" s="2965" t="n"/>
      <c r="AX438" s="2964" t="n"/>
      <c r="AY438" s="2965" t="n"/>
      <c r="AZ438" s="2963">
        <f>SUM(C438:AW438)</f>
        <v/>
      </c>
      <c r="BA438" s="2965" t="n"/>
    </row>
    <row r="439" spans="1:55">
      <c r="A439" s="2963" t="s">
        <v>252</v>
      </c>
      <c r="B439" s="2964" t="n"/>
      <c r="C439" s="2965" t="n"/>
      <c r="D439" s="2963">
        <f>' SET Cost(staf+OS)'!D590/1000</f>
        <v/>
      </c>
      <c r="E439" s="2963" t="n"/>
      <c r="F439" s="2964" t="n"/>
      <c r="G439" s="2963" t="n"/>
      <c r="H439" s="2963">
        <f>' SET Cost(staf+OS)'!E590/1000</f>
        <v/>
      </c>
      <c r="I439" s="2963" t="n"/>
      <c r="J439" s="2964" t="n"/>
      <c r="K439" s="2963" t="n"/>
      <c r="L439" s="2963">
        <f>' SET Cost(staf+OS)'!F590/1000</f>
        <v/>
      </c>
      <c r="M439" s="2963" t="n"/>
      <c r="N439" s="2960" t="n"/>
      <c r="O439" s="2963" t="n"/>
      <c r="P439" s="2963">
        <f>' SET Cost(staf+OS)'!G590/1000</f>
        <v/>
      </c>
      <c r="Q439" s="2963" t="n"/>
      <c r="R439" s="2964" t="n"/>
      <c r="S439" s="2963" t="n"/>
      <c r="T439" s="2963">
        <f>' SET Cost(staf+OS)'!H590/1000</f>
        <v/>
      </c>
      <c r="U439" s="2963" t="n"/>
      <c r="V439" s="2960" t="n"/>
      <c r="W439" s="2963" t="n"/>
      <c r="X439" s="2963">
        <f>' SET Cost(staf+OS)'!I590/1000</f>
        <v/>
      </c>
      <c r="Y439" s="2963" t="n"/>
      <c r="Z439" s="2960" t="n"/>
      <c r="AA439" s="2963" t="n"/>
      <c r="AB439" s="2963">
        <f>' SET Cost(staf+OS)'!J590/1000</f>
        <v/>
      </c>
      <c r="AC439" s="2963" t="n"/>
      <c r="AD439" s="2960" t="n"/>
      <c r="AE439" s="2963" t="n"/>
      <c r="AF439" s="2963">
        <f>' SET Cost(staf+OS)'!K590/1000</f>
        <v/>
      </c>
      <c r="AG439" s="2963" t="n"/>
      <c r="AH439" s="2960" t="n"/>
      <c r="AI439" s="2963" t="n"/>
      <c r="AJ439" s="2963">
        <f>' SET Cost(staf+OS)'!L590/1000</f>
        <v/>
      </c>
      <c r="AK439" s="2963" t="n"/>
      <c r="AL439" s="2964" t="n"/>
      <c r="AM439" s="2963" t="n"/>
      <c r="AN439" s="2963">
        <f>' SET Cost(staf+OS)'!M590/1000</f>
        <v/>
      </c>
      <c r="AO439" s="2963" t="n"/>
      <c r="AP439" s="2964" t="n"/>
      <c r="AQ439" s="2963" t="n"/>
      <c r="AR439" s="2963">
        <f>' SET Cost(staf+OS)'!N590/1000</f>
        <v/>
      </c>
      <c r="AS439" s="2963" t="n"/>
      <c r="AT439" s="2964" t="n"/>
      <c r="AU439" s="2963" t="n"/>
      <c r="AV439" s="2963">
        <f>' SET Cost(staf+OS)'!O590/1000</f>
        <v/>
      </c>
      <c r="AW439" s="2965" t="n"/>
      <c r="AX439" s="2964" t="n"/>
      <c r="AY439" s="2965" t="n"/>
      <c r="AZ439" s="2963">
        <f>SUM(C439:AW439)</f>
        <v/>
      </c>
      <c r="BA439" s="2965" t="n"/>
    </row>
    <row r="440" spans="1:55">
      <c r="A440" s="2963" t="s">
        <v>191</v>
      </c>
      <c r="B440" s="2964" t="n"/>
      <c r="C440" s="2965" t="n"/>
      <c r="D440" s="2963">
        <f>' SET Cost(staf+OS)'!D591/1000</f>
        <v/>
      </c>
      <c r="E440" s="2963" t="n"/>
      <c r="F440" s="2964" t="n"/>
      <c r="G440" s="2963" t="n"/>
      <c r="H440" s="2963">
        <f>' SET Cost(staf+OS)'!E591/1000</f>
        <v/>
      </c>
      <c r="I440" s="2963" t="n"/>
      <c r="J440" s="2964" t="n"/>
      <c r="K440" s="2963" t="n"/>
      <c r="L440" s="2963">
        <f>' SET Cost(staf+OS)'!F591/1000</f>
        <v/>
      </c>
      <c r="M440" s="2963" t="n"/>
      <c r="N440" s="2960" t="n"/>
      <c r="O440" s="2963" t="n"/>
      <c r="P440" s="2963">
        <f>' SET Cost(staf+OS)'!G591/1000</f>
        <v/>
      </c>
      <c r="Q440" s="2963" t="n"/>
      <c r="R440" s="2964" t="n"/>
      <c r="S440" s="2963" t="n"/>
      <c r="T440" s="2963">
        <f>' SET Cost(staf+OS)'!H591/1000</f>
        <v/>
      </c>
      <c r="U440" s="2963" t="n"/>
      <c r="V440" s="2960" t="n"/>
      <c r="W440" s="2963" t="n"/>
      <c r="X440" s="2963">
        <f>' SET Cost(staf+OS)'!I591/1000</f>
        <v/>
      </c>
      <c r="Y440" s="2963" t="n"/>
      <c r="Z440" s="2960" t="n"/>
      <c r="AA440" s="2963" t="n"/>
      <c r="AB440" s="2963">
        <f>' SET Cost(staf+OS)'!J591/1000</f>
        <v/>
      </c>
      <c r="AC440" s="2963" t="n"/>
      <c r="AD440" s="2960" t="n"/>
      <c r="AE440" s="2963" t="n"/>
      <c r="AF440" s="2963">
        <f>' SET Cost(staf+OS)'!K591/1000</f>
        <v/>
      </c>
      <c r="AG440" s="2963" t="n"/>
      <c r="AH440" s="2960" t="n"/>
      <c r="AI440" s="2963" t="n"/>
      <c r="AJ440" s="2963">
        <f>' SET Cost(staf+OS)'!L591/1000</f>
        <v/>
      </c>
      <c r="AK440" s="2963" t="n"/>
      <c r="AL440" s="2964" t="n"/>
      <c r="AM440" s="2963" t="n"/>
      <c r="AN440" s="2963">
        <f>' SET Cost(staf+OS)'!M591/1000</f>
        <v/>
      </c>
      <c r="AO440" s="2963" t="n"/>
      <c r="AP440" s="2964" t="n"/>
      <c r="AQ440" s="2963" t="n"/>
      <c r="AR440" s="2963">
        <f>' SET Cost(staf+OS)'!N591/1000</f>
        <v/>
      </c>
      <c r="AS440" s="2963" t="n"/>
      <c r="AT440" s="2964" t="n"/>
      <c r="AU440" s="2963" t="n"/>
      <c r="AV440" s="2963">
        <f>' SET Cost(staf+OS)'!O591/1000</f>
        <v/>
      </c>
      <c r="AW440" s="2965" t="n"/>
      <c r="AX440" s="2964" t="n"/>
      <c r="AY440" s="2965" t="n"/>
      <c r="AZ440" s="2963">
        <f>SUM(C440:AW440)</f>
        <v/>
      </c>
      <c r="BA440" s="2965" t="n"/>
    </row>
    <row r="441" spans="1:55">
      <c r="A441" s="2963" t="s">
        <v>192</v>
      </c>
      <c r="B441" s="2964" t="n"/>
      <c r="C441" s="2965" t="n"/>
      <c r="D441" s="2963">
        <f>' SET Cost(staf+OS)'!D592/1000</f>
        <v/>
      </c>
      <c r="E441" s="2963" t="n"/>
      <c r="F441" s="2964" t="n"/>
      <c r="G441" s="2963" t="n"/>
      <c r="H441" s="2963">
        <f>' SET Cost(staf+OS)'!E592/1000</f>
        <v/>
      </c>
      <c r="I441" s="2963" t="n"/>
      <c r="J441" s="2964" t="n"/>
      <c r="K441" s="2963" t="n"/>
      <c r="L441" s="2963">
        <f>' SET Cost(staf+OS)'!F592/1000</f>
        <v/>
      </c>
      <c r="M441" s="2963" t="n"/>
      <c r="N441" s="2960" t="n"/>
      <c r="O441" s="2963" t="n"/>
      <c r="P441" s="2963">
        <f>' SET Cost(staf+OS)'!G592/1000</f>
        <v/>
      </c>
      <c r="Q441" s="2963" t="n"/>
      <c r="R441" s="2964" t="n"/>
      <c r="S441" s="2963" t="n"/>
      <c r="T441" s="2963">
        <f>' SET Cost(staf+OS)'!H592/1000</f>
        <v/>
      </c>
      <c r="U441" s="2963" t="n"/>
      <c r="V441" s="2960" t="n"/>
      <c r="W441" s="2963" t="n"/>
      <c r="X441" s="2963">
        <f>' SET Cost(staf+OS)'!I592/1000</f>
        <v/>
      </c>
      <c r="Y441" s="2963" t="n"/>
      <c r="Z441" s="2960" t="n"/>
      <c r="AA441" s="2963" t="n"/>
      <c r="AB441" s="2963">
        <f>' SET Cost(staf+OS)'!J592/1000</f>
        <v/>
      </c>
      <c r="AC441" s="2963" t="n"/>
      <c r="AD441" s="2960" t="n"/>
      <c r="AE441" s="2963" t="n"/>
      <c r="AF441" s="2963">
        <f>' SET Cost(staf+OS)'!K592/1000</f>
        <v/>
      </c>
      <c r="AG441" s="2963" t="n"/>
      <c r="AH441" s="2960" t="n"/>
      <c r="AI441" s="2963" t="n"/>
      <c r="AJ441" s="2963">
        <f>' SET Cost(staf+OS)'!L592/1000</f>
        <v/>
      </c>
      <c r="AK441" s="2963" t="n"/>
      <c r="AL441" s="2964" t="n"/>
      <c r="AM441" s="2963" t="n"/>
      <c r="AN441" s="2963">
        <f>' SET Cost(staf+OS)'!M592/1000</f>
        <v/>
      </c>
      <c r="AO441" s="2963" t="n"/>
      <c r="AP441" s="2964" t="n"/>
      <c r="AQ441" s="2963" t="n"/>
      <c r="AR441" s="2963">
        <f>' SET Cost(staf+OS)'!N592/1000</f>
        <v/>
      </c>
      <c r="AS441" s="2963" t="n"/>
      <c r="AT441" s="2964" t="n"/>
      <c r="AU441" s="2963" t="n"/>
      <c r="AV441" s="2963">
        <f>' SET Cost(staf+OS)'!O592/1000</f>
        <v/>
      </c>
      <c r="AW441" s="2965" t="n"/>
      <c r="AX441" s="2964" t="n"/>
      <c r="AY441" s="2965" t="n"/>
      <c r="AZ441" s="2963">
        <f>SUM(C441:AW441)</f>
        <v/>
      </c>
      <c r="BA441" s="2965" t="n"/>
    </row>
    <row r="442" spans="1:55">
      <c r="A442" s="2963" t="s">
        <v>194</v>
      </c>
      <c r="B442" s="2964" t="n"/>
      <c r="C442" s="2965" t="n"/>
      <c r="D442" s="2965">
        <f>' SET Cost(staf+OS)'!D593/1000+'OS&amp;Travel Exp'!C69/1000</f>
        <v/>
      </c>
      <c r="E442" s="2965" t="n"/>
      <c r="F442" s="2965" t="n"/>
      <c r="G442" s="2965" t="n"/>
      <c r="H442" s="2965">
        <f>' SET Cost(staf+OS)'!E593/1000+'OS&amp;Travel Exp'!D69/1000</f>
        <v/>
      </c>
      <c r="I442" s="2965" t="n"/>
      <c r="J442" s="2965" t="n"/>
      <c r="K442" s="2965" t="n"/>
      <c r="L442" s="2965">
        <f>' SET Cost(staf+OS)'!F593/1000+'OS&amp;Travel Exp'!E69/1000</f>
        <v/>
      </c>
      <c r="M442" s="2965" t="n"/>
      <c r="N442" s="2965" t="n"/>
      <c r="O442" s="2965" t="n"/>
      <c r="P442" s="2965">
        <f>' SET Cost(staf+OS)'!G593/1000+'OS&amp;Travel Exp'!F69/1000</f>
        <v/>
      </c>
      <c r="Q442" s="2965" t="n"/>
      <c r="R442" s="2965" t="n"/>
      <c r="S442" s="2965" t="n"/>
      <c r="T442" s="2965">
        <f>' SET Cost(staf+OS)'!H593/1000+'OS&amp;Travel Exp'!G69/1000</f>
        <v/>
      </c>
      <c r="U442" s="2965" t="n"/>
      <c r="V442" s="2965" t="n"/>
      <c r="W442" s="2965" t="n"/>
      <c r="X442" s="2965">
        <f>' SET Cost(staf+OS)'!I593/1000+'OS&amp;Travel Exp'!H69/1000</f>
        <v/>
      </c>
      <c r="Y442" s="2965" t="n"/>
      <c r="Z442" s="2965" t="n"/>
      <c r="AA442" s="2965" t="n"/>
      <c r="AB442" s="2965">
        <f>' SET Cost(staf+OS)'!J593/1000+'OS&amp;Travel Exp'!I69/1000</f>
        <v/>
      </c>
      <c r="AC442" s="2965" t="n"/>
      <c r="AD442" s="2965" t="n"/>
      <c r="AE442" s="2965" t="n"/>
      <c r="AF442" s="2965">
        <f>' SET Cost(staf+OS)'!K593/1000+'OS&amp;Travel Exp'!J69/1000</f>
        <v/>
      </c>
      <c r="AG442" s="2965" t="n"/>
      <c r="AH442" s="2965" t="n"/>
      <c r="AI442" s="2965" t="n"/>
      <c r="AJ442" s="2965">
        <f>' SET Cost(staf+OS)'!L593/1000+'OS&amp;Travel Exp'!K69/1000</f>
        <v/>
      </c>
      <c r="AK442" s="2965" t="n"/>
      <c r="AL442" s="2965" t="n"/>
      <c r="AM442" s="2965" t="n"/>
      <c r="AN442" s="2965">
        <f>' SET Cost(staf+OS)'!M593/1000+'OS&amp;Travel Exp'!L69/1000</f>
        <v/>
      </c>
      <c r="AO442" s="2965" t="n"/>
      <c r="AP442" s="2965" t="n"/>
      <c r="AQ442" s="2965" t="n"/>
      <c r="AR442" s="2965">
        <f>' SET Cost(staf+OS)'!N593/1000+'OS&amp;Travel Exp'!M69/1000</f>
        <v/>
      </c>
      <c r="AS442" s="2965" t="n"/>
      <c r="AT442" s="2965" t="n"/>
      <c r="AU442" s="2965" t="n"/>
      <c r="AV442" s="2965">
        <f>' SET Cost(staf+OS)'!O593/1000+'OS&amp;Travel Exp'!N69/1000</f>
        <v/>
      </c>
      <c r="AW442" s="2965" t="n"/>
      <c r="AX442" s="2964" t="n"/>
      <c r="AY442" s="2965" t="n"/>
      <c r="AZ442" s="2963">
        <f>SUM(C442:AW442)</f>
        <v/>
      </c>
      <c r="BA442" s="2965" t="n"/>
    </row>
    <row r="443" spans="1:55">
      <c r="A443" s="2963" t="s">
        <v>195</v>
      </c>
      <c r="B443" s="2964" t="n"/>
      <c r="C443" s="2965" t="n"/>
      <c r="D443" s="2965">
        <f>' SET Cost(staf+OS)'!D594/1000+'OS&amp;Travel Exp'!C46/1000</f>
        <v/>
      </c>
      <c r="E443" s="2965" t="n"/>
      <c r="F443" s="2965" t="n"/>
      <c r="G443" s="2965" t="n"/>
      <c r="H443" s="2965">
        <f>' SET Cost(staf+OS)'!E594/1000+'OS&amp;Travel Exp'!D46/1000</f>
        <v/>
      </c>
      <c r="I443" s="2965" t="n"/>
      <c r="J443" s="2965" t="n"/>
      <c r="K443" s="2965" t="n"/>
      <c r="L443" s="2965">
        <f>' SET Cost(staf+OS)'!F594/1000+'OS&amp;Travel Exp'!E46/1000</f>
        <v/>
      </c>
      <c r="M443" s="2965" t="n"/>
      <c r="N443" s="2965" t="n"/>
      <c r="O443" s="2965" t="n"/>
      <c r="P443" s="2965">
        <f>' SET Cost(staf+OS)'!G594/1000+'OS&amp;Travel Exp'!F46/1000</f>
        <v/>
      </c>
      <c r="Q443" s="2965" t="n"/>
      <c r="R443" s="2965" t="n"/>
      <c r="S443" s="2965" t="n"/>
      <c r="T443" s="2965">
        <f>' SET Cost(staf+OS)'!H594/1000+'OS&amp;Travel Exp'!G46/1000</f>
        <v/>
      </c>
      <c r="U443" s="2965" t="n"/>
      <c r="V443" s="2965" t="n"/>
      <c r="W443" s="2965" t="n"/>
      <c r="X443" s="2965">
        <f>' SET Cost(staf+OS)'!I594/1000+'OS&amp;Travel Exp'!H46/1000</f>
        <v/>
      </c>
      <c r="Y443" s="2965" t="n"/>
      <c r="Z443" s="2965" t="n"/>
      <c r="AA443" s="2965" t="n"/>
      <c r="AB443" s="2965">
        <f>' SET Cost(staf+OS)'!J594/1000+'OS&amp;Travel Exp'!I46/1000</f>
        <v/>
      </c>
      <c r="AC443" s="2965" t="n"/>
      <c r="AD443" s="2965" t="n"/>
      <c r="AE443" s="2965" t="n"/>
      <c r="AF443" s="2965">
        <f>' SET Cost(staf+OS)'!K594/1000+'OS&amp;Travel Exp'!J46/1000</f>
        <v/>
      </c>
      <c r="AG443" s="2965" t="n"/>
      <c r="AH443" s="2965" t="n"/>
      <c r="AI443" s="2965" t="n"/>
      <c r="AJ443" s="2965">
        <f>' SET Cost(staf+OS)'!L594/1000+'OS&amp;Travel Exp'!K46/1000</f>
        <v/>
      </c>
      <c r="AK443" s="2965" t="n"/>
      <c r="AL443" s="2965" t="n"/>
      <c r="AM443" s="2965" t="n"/>
      <c r="AN443" s="2965">
        <f>' SET Cost(staf+OS)'!M594/1000+'OS&amp;Travel Exp'!L46/1000</f>
        <v/>
      </c>
      <c r="AO443" s="2965" t="n"/>
      <c r="AP443" s="2965" t="n"/>
      <c r="AQ443" s="2965" t="n"/>
      <c r="AR443" s="2965">
        <f>' SET Cost(staf+OS)'!N594/1000+'OS&amp;Travel Exp'!M46/1000</f>
        <v/>
      </c>
      <c r="AS443" s="2965" t="n"/>
      <c r="AT443" s="2965" t="n"/>
      <c r="AU443" s="2965" t="n"/>
      <c r="AV443" s="2965">
        <f>' SET Cost(staf+OS)'!O594/1000+'OS&amp;Travel Exp'!N46/1000</f>
        <v/>
      </c>
      <c r="AW443" s="2965" t="n"/>
      <c r="AX443" s="2964" t="n"/>
      <c r="AY443" s="2965" t="n"/>
      <c r="AZ443" s="2963">
        <f>SUM(C443:AW443)</f>
        <v/>
      </c>
      <c r="BA443" s="2965" t="n"/>
    </row>
    <row r="444" spans="1:55">
      <c r="A444" s="2794" t="s">
        <v>366</v>
      </c>
      <c r="B444" s="2793" t="n"/>
      <c r="C444" s="2794" t="n"/>
      <c r="D444" s="2844">
        <f>'OS&amp;Travel Exp'!C21</f>
        <v/>
      </c>
      <c r="E444" s="2844" t="n"/>
      <c r="F444" s="2793" t="n"/>
      <c r="G444" s="2844" t="n"/>
      <c r="H444" s="2844">
        <f>'OS&amp;Travel Exp'!D21</f>
        <v/>
      </c>
      <c r="I444" s="2844" t="n"/>
      <c r="J444" s="2793" t="n"/>
      <c r="K444" s="2844" t="n"/>
      <c r="L444" s="2844">
        <f>'OS&amp;Travel Exp'!E21</f>
        <v/>
      </c>
      <c r="M444" s="2844" t="n"/>
      <c r="N444" s="2795" t="n"/>
      <c r="O444" s="2844" t="n"/>
      <c r="P444" s="2844">
        <f>'OS&amp;Travel Exp'!F21</f>
        <v/>
      </c>
      <c r="Q444" s="2844" t="n"/>
      <c r="R444" s="2793" t="n"/>
      <c r="S444" s="2844" t="n"/>
      <c r="T444" s="2844">
        <f>'OS&amp;Travel Exp'!G21</f>
        <v/>
      </c>
      <c r="U444" s="2844" t="n"/>
      <c r="V444" s="2795" t="n"/>
      <c r="W444" s="2844" t="n"/>
      <c r="X444" s="2844">
        <f>'OS&amp;Travel Exp'!H21</f>
        <v/>
      </c>
      <c r="Y444" s="2844" t="n"/>
      <c r="Z444" s="2795" t="n"/>
      <c r="AA444" s="2844" t="n"/>
      <c r="AB444" s="2844">
        <f>'OS&amp;Travel Exp'!I21</f>
        <v/>
      </c>
      <c r="AC444" s="2844" t="n"/>
      <c r="AD444" s="2795" t="n"/>
      <c r="AE444" s="2844" t="n"/>
      <c r="AF444" s="2844">
        <f>'OS&amp;Travel Exp'!J21</f>
        <v/>
      </c>
      <c r="AG444" s="2844" t="n"/>
      <c r="AH444" s="2795" t="n"/>
      <c r="AI444" s="2844" t="n"/>
      <c r="AJ444" s="2844">
        <f>'OS&amp;Travel Exp'!K21</f>
        <v/>
      </c>
      <c r="AK444" s="2844" t="n"/>
      <c r="AL444" s="2793" t="n"/>
      <c r="AM444" s="2844" t="n"/>
      <c r="AN444" s="2844">
        <f>'OS&amp;Travel Exp'!L21</f>
        <v/>
      </c>
      <c r="AO444" s="2844" t="n"/>
      <c r="AP444" s="2793" t="n"/>
      <c r="AQ444" s="2844" t="n"/>
      <c r="AR444" s="2844">
        <f>'OS&amp;Travel Exp'!M21</f>
        <v/>
      </c>
      <c r="AS444" s="2844" t="n"/>
      <c r="AT444" s="2793" t="n"/>
      <c r="AU444" s="2844" t="n"/>
      <c r="AV444" s="2844">
        <f>'OS&amp;Travel Exp'!N21</f>
        <v/>
      </c>
      <c r="AW444" s="2794" t="n"/>
      <c r="AX444" s="2793" t="n"/>
      <c r="AY444" s="2794" t="n"/>
      <c r="AZ444" s="2792">
        <f>SUM(C444:AW444)</f>
        <v/>
      </c>
      <c r="BA444" s="2794" t="n"/>
    </row>
    <row r="445" spans="1:55">
      <c r="A445" s="2963" t="s">
        <v>161</v>
      </c>
      <c r="B445" s="2964" t="n"/>
      <c r="C445" s="2965" t="n"/>
      <c r="D445" s="2963">
        <f>' SET Cost(staf+OS)'!D596/1000</f>
        <v/>
      </c>
      <c r="E445" s="2963" t="n"/>
      <c r="F445" s="2964" t="n"/>
      <c r="G445" s="2963" t="n"/>
      <c r="H445" s="2963">
        <f>' SET Cost(staf+OS)'!E596/1000</f>
        <v/>
      </c>
      <c r="I445" s="2963" t="n"/>
      <c r="J445" s="2964" t="n"/>
      <c r="K445" s="2963" t="n"/>
      <c r="L445" s="2963">
        <f>' SET Cost(staf+OS)'!F596/1000</f>
        <v/>
      </c>
      <c r="M445" s="2963" t="n"/>
      <c r="N445" s="2960" t="n"/>
      <c r="O445" s="2963" t="n"/>
      <c r="P445" s="2963">
        <f>' SET Cost(staf+OS)'!G596/1000</f>
        <v/>
      </c>
      <c r="Q445" s="2963" t="n"/>
      <c r="R445" s="2964" t="n"/>
      <c r="S445" s="2963" t="n"/>
      <c r="T445" s="2963">
        <f>' SET Cost(staf+OS)'!H596/1000</f>
        <v/>
      </c>
      <c r="U445" s="2963" t="n"/>
      <c r="V445" s="2960" t="n"/>
      <c r="W445" s="2963" t="n"/>
      <c r="X445" s="2963">
        <f>' SET Cost(staf+OS)'!I596/1000</f>
        <v/>
      </c>
      <c r="Y445" s="2963" t="n"/>
      <c r="Z445" s="2960" t="n"/>
      <c r="AA445" s="2963" t="n"/>
      <c r="AB445" s="2963">
        <f>' SET Cost(staf+OS)'!J596/1000</f>
        <v/>
      </c>
      <c r="AC445" s="2963" t="n"/>
      <c r="AD445" s="2960" t="n"/>
      <c r="AE445" s="2963" t="n"/>
      <c r="AF445" s="2963">
        <f>' SET Cost(staf+OS)'!K596/1000</f>
        <v/>
      </c>
      <c r="AG445" s="2963" t="n"/>
      <c r="AH445" s="2960" t="n"/>
      <c r="AI445" s="2963" t="n"/>
      <c r="AJ445" s="2963">
        <f>' SET Cost(staf+OS)'!L596/1000</f>
        <v/>
      </c>
      <c r="AK445" s="2963" t="n"/>
      <c r="AL445" s="2964" t="n"/>
      <c r="AM445" s="2963" t="n"/>
      <c r="AN445" s="2963">
        <f>' SET Cost(staf+OS)'!M596/1000</f>
        <v/>
      </c>
      <c r="AO445" s="2963" t="n"/>
      <c r="AP445" s="2964" t="n"/>
      <c r="AQ445" s="2963" t="n"/>
      <c r="AR445" s="2963">
        <f>' SET Cost(staf+OS)'!N596/1000</f>
        <v/>
      </c>
      <c r="AS445" s="2963" t="n"/>
      <c r="AT445" s="2964" t="n"/>
      <c r="AU445" s="2963" t="n"/>
      <c r="AV445" s="2963">
        <f>' SET Cost(staf+OS)'!O596/1000</f>
        <v/>
      </c>
      <c r="AW445" s="2965" t="n"/>
      <c r="AX445" s="2964" t="n"/>
      <c r="AY445" s="2965" t="n"/>
      <c r="AZ445" s="2963">
        <f>SUM(C445:AW445)</f>
        <v/>
      </c>
      <c r="BA445" s="2965" t="n"/>
    </row>
    <row r="446" spans="1:55">
      <c r="A446" s="2966" t="s">
        <v>367</v>
      </c>
      <c r="B446" s="2964" t="n"/>
      <c r="C446" s="2965" t="n"/>
      <c r="D446" s="2963">
        <f>' SET Cost(staf+OS)'!D597/1000</f>
        <v/>
      </c>
      <c r="E446" s="2963" t="n"/>
      <c r="F446" s="2964" t="n"/>
      <c r="G446" s="2963" t="n"/>
      <c r="H446" s="2963">
        <f>' SET Cost(staf+OS)'!E597/1000</f>
        <v/>
      </c>
      <c r="I446" s="2963" t="n"/>
      <c r="J446" s="2964" t="n"/>
      <c r="K446" s="2963" t="n"/>
      <c r="L446" s="2963">
        <f>' SET Cost(staf+OS)'!F597/1000</f>
        <v/>
      </c>
      <c r="M446" s="2963" t="n"/>
      <c r="N446" s="2960" t="n"/>
      <c r="O446" s="2963" t="n"/>
      <c r="P446" s="2963">
        <f>' SET Cost(staf+OS)'!G597/1000</f>
        <v/>
      </c>
      <c r="Q446" s="2963" t="n"/>
      <c r="R446" s="2964" t="n"/>
      <c r="S446" s="2963" t="n"/>
      <c r="T446" s="2963">
        <f>' SET Cost(staf+OS)'!H597/1000</f>
        <v/>
      </c>
      <c r="U446" s="2963" t="n"/>
      <c r="V446" s="2960" t="n"/>
      <c r="W446" s="2963" t="n"/>
      <c r="X446" s="2963">
        <f>' SET Cost(staf+OS)'!I597/1000</f>
        <v/>
      </c>
      <c r="Y446" s="2963" t="n"/>
      <c r="Z446" s="2960" t="n"/>
      <c r="AA446" s="2963" t="n"/>
      <c r="AB446" s="2963">
        <f>' SET Cost(staf+OS)'!J597/1000</f>
        <v/>
      </c>
      <c r="AC446" s="2963" t="n"/>
      <c r="AD446" s="2960" t="n"/>
      <c r="AE446" s="2963" t="n"/>
      <c r="AF446" s="2963">
        <f>' SET Cost(staf+OS)'!K597/1000</f>
        <v/>
      </c>
      <c r="AG446" s="2963" t="n"/>
      <c r="AH446" s="2960" t="n"/>
      <c r="AI446" s="2963" t="n"/>
      <c r="AJ446" s="2963">
        <f>' SET Cost(staf+OS)'!L597/1000</f>
        <v/>
      </c>
      <c r="AK446" s="2963" t="n"/>
      <c r="AL446" s="2964" t="n"/>
      <c r="AM446" s="2963" t="n"/>
      <c r="AN446" s="2963">
        <f>' SET Cost(staf+OS)'!M597/1000</f>
        <v/>
      </c>
      <c r="AO446" s="2963" t="n"/>
      <c r="AP446" s="2964" t="n"/>
      <c r="AQ446" s="2963" t="n"/>
      <c r="AR446" s="2963">
        <f>' SET Cost(staf+OS)'!N597/1000</f>
        <v/>
      </c>
      <c r="AS446" s="2963" t="n"/>
      <c r="AT446" s="2964" t="n"/>
      <c r="AU446" s="2963" t="n"/>
      <c r="AV446" s="2963">
        <f>' SET Cost(staf+OS)'!O597/1000</f>
        <v/>
      </c>
      <c r="AW446" s="2965" t="n"/>
      <c r="AX446" s="2964" t="n"/>
      <c r="AY446" s="2965" t="n"/>
      <c r="AZ446" s="2963">
        <f>SUM(C446:AW446)</f>
        <v/>
      </c>
      <c r="BA446" s="2965" t="n"/>
    </row>
    <row r="447" spans="1:55">
      <c r="A447" s="2967" t="s">
        <v>232</v>
      </c>
      <c r="B447" s="2964" t="n"/>
      <c r="C447" s="2963" t="n"/>
      <c r="D447" s="2963">
        <f>' SET Cost(staf+OS)'!D598/1000</f>
        <v/>
      </c>
      <c r="E447" s="2963" t="n"/>
      <c r="F447" s="2964" t="n"/>
      <c r="G447" s="2963" t="n"/>
      <c r="H447" s="2963">
        <f>' SET Cost(staf+OS)'!E598/1000</f>
        <v/>
      </c>
      <c r="I447" s="2963" t="n"/>
      <c r="J447" s="2964" t="n"/>
      <c r="K447" s="2963" t="n"/>
      <c r="L447" s="2963">
        <f>' SET Cost(staf+OS)'!F598/1000</f>
        <v/>
      </c>
      <c r="M447" s="2963" t="n"/>
      <c r="N447" s="2960" t="n"/>
      <c r="O447" s="2963" t="n"/>
      <c r="P447" s="2963">
        <f>' SET Cost(staf+OS)'!G598/1000</f>
        <v/>
      </c>
      <c r="Q447" s="2963" t="n"/>
      <c r="R447" s="2964" t="n"/>
      <c r="S447" s="2963" t="n"/>
      <c r="T447" s="2963">
        <f>' SET Cost(staf+OS)'!H598/1000</f>
        <v/>
      </c>
      <c r="U447" s="2963" t="n"/>
      <c r="V447" s="2960" t="n"/>
      <c r="W447" s="2963" t="n"/>
      <c r="X447" s="2963">
        <f>' SET Cost(staf+OS)'!I598/1000</f>
        <v/>
      </c>
      <c r="Y447" s="2963" t="n"/>
      <c r="Z447" s="2960" t="n"/>
      <c r="AA447" s="2963" t="n"/>
      <c r="AB447" s="2963">
        <f>' SET Cost(staf+OS)'!J598/1000</f>
        <v/>
      </c>
      <c r="AC447" s="2963" t="n"/>
      <c r="AD447" s="2960" t="n"/>
      <c r="AE447" s="2963" t="n"/>
      <c r="AF447" s="2963">
        <f>' SET Cost(staf+OS)'!K598/1000</f>
        <v/>
      </c>
      <c r="AG447" s="2963" t="n"/>
      <c r="AH447" s="2960" t="n"/>
      <c r="AI447" s="2963" t="n"/>
      <c r="AJ447" s="2963">
        <f>' SET Cost(staf+OS)'!L598/1000</f>
        <v/>
      </c>
      <c r="AK447" s="2963" t="n"/>
      <c r="AL447" s="2964" t="n"/>
      <c r="AM447" s="2963" t="n"/>
      <c r="AN447" s="2963">
        <f>' SET Cost(staf+OS)'!M598/1000</f>
        <v/>
      </c>
      <c r="AO447" s="2963" t="n"/>
      <c r="AP447" s="2964" t="n"/>
      <c r="AQ447" s="2963" t="n"/>
      <c r="AR447" s="2963">
        <f>' SET Cost(staf+OS)'!N598/1000</f>
        <v/>
      </c>
      <c r="AS447" s="2963" t="n"/>
      <c r="AT447" s="2964" t="n"/>
      <c r="AU447" s="2963" t="n"/>
      <c r="AV447" s="2963">
        <f>' SET Cost(staf+OS)'!O598/1000</f>
        <v/>
      </c>
      <c r="AW447" s="2965" t="n"/>
      <c r="AX447" s="2964" t="n"/>
      <c r="AY447" s="2965" t="n"/>
      <c r="AZ447" s="2963">
        <f>SUM(C447:AW447)</f>
        <v/>
      </c>
      <c r="BA447" s="2963" t="n"/>
    </row>
    <row r="448" spans="1:55">
      <c r="A448" s="2968" t="s">
        <v>233</v>
      </c>
      <c r="B448" s="2964" t="n"/>
      <c r="C448" s="2969" t="n"/>
      <c r="D448" s="2963">
        <f>' SET Cost(staf+OS)'!D599/1000</f>
        <v/>
      </c>
      <c r="E448" s="2963" t="n"/>
      <c r="F448" s="2964" t="n"/>
      <c r="G448" s="2963" t="n"/>
      <c r="H448" s="2963">
        <f>' SET Cost(staf+OS)'!E599/1000</f>
        <v/>
      </c>
      <c r="I448" s="2963" t="n"/>
      <c r="J448" s="2964" t="n"/>
      <c r="K448" s="2963" t="n"/>
      <c r="L448" s="2963">
        <f>' SET Cost(staf+OS)'!F599/1000</f>
        <v/>
      </c>
      <c r="M448" s="2963" t="n"/>
      <c r="N448" s="2960" t="n"/>
      <c r="O448" s="2963" t="n"/>
      <c r="P448" s="2963">
        <f>' SET Cost(staf+OS)'!G599/1000</f>
        <v/>
      </c>
      <c r="Q448" s="2963" t="n"/>
      <c r="R448" s="2964" t="n"/>
      <c r="S448" s="2963" t="n"/>
      <c r="T448" s="2963">
        <f>' SET Cost(staf+OS)'!H599/1000</f>
        <v/>
      </c>
      <c r="U448" s="2963" t="n"/>
      <c r="V448" s="2960" t="n"/>
      <c r="W448" s="2963" t="n"/>
      <c r="X448" s="2963">
        <f>' SET Cost(staf+OS)'!I599/1000</f>
        <v/>
      </c>
      <c r="Y448" s="2963" t="n"/>
      <c r="Z448" s="2960" t="n"/>
      <c r="AA448" s="2963" t="n"/>
      <c r="AB448" s="2963">
        <f>' SET Cost(staf+OS)'!J599/1000</f>
        <v/>
      </c>
      <c r="AC448" s="2963" t="n"/>
      <c r="AD448" s="2960" t="n"/>
      <c r="AE448" s="2963" t="n"/>
      <c r="AF448" s="2963">
        <f>' SET Cost(staf+OS)'!K599/1000</f>
        <v/>
      </c>
      <c r="AG448" s="2963" t="n"/>
      <c r="AH448" s="2960" t="n"/>
      <c r="AI448" s="2963" t="n"/>
      <c r="AJ448" s="2963">
        <f>' SET Cost(staf+OS)'!L599/1000</f>
        <v/>
      </c>
      <c r="AK448" s="2963" t="n"/>
      <c r="AL448" s="2964" t="n"/>
      <c r="AM448" s="2963" t="n"/>
      <c r="AN448" s="2963">
        <f>' SET Cost(staf+OS)'!M599/1000</f>
        <v/>
      </c>
      <c r="AO448" s="2963" t="n"/>
      <c r="AP448" s="2964" t="n"/>
      <c r="AQ448" s="2963" t="n"/>
      <c r="AR448" s="2963">
        <f>' SET Cost(staf+OS)'!N599/1000</f>
        <v/>
      </c>
      <c r="AS448" s="2963" t="n"/>
      <c r="AT448" s="2964" t="n"/>
      <c r="AU448" s="2963" t="n"/>
      <c r="AV448" s="2963">
        <f>' SET Cost(staf+OS)'!O599/1000</f>
        <v/>
      </c>
      <c r="AW448" s="2969" t="n"/>
      <c r="AX448" s="2964" t="n"/>
      <c r="AY448" s="2969" t="n"/>
      <c r="AZ448" s="2963">
        <f>SUM(C448:AW448)</f>
        <v/>
      </c>
      <c r="BA448" s="2969" t="n"/>
    </row>
    <row r="449" spans="1:55">
      <c r="A449" s="2967" t="s">
        <v>368</v>
      </c>
      <c r="B449" s="2964" t="n"/>
      <c r="C449" s="2963" t="n"/>
      <c r="D449" s="2963">
        <f>' SET Cost(staf+OS)'!D600/1000</f>
        <v/>
      </c>
      <c r="E449" s="2963" t="n"/>
      <c r="F449" s="2964" t="n"/>
      <c r="G449" s="2963" t="n"/>
      <c r="H449" s="2963">
        <f>' SET Cost(staf+OS)'!E600/1000</f>
        <v/>
      </c>
      <c r="I449" s="2963" t="n"/>
      <c r="J449" s="2964" t="n"/>
      <c r="K449" s="2963" t="n"/>
      <c r="L449" s="2963">
        <f>' SET Cost(staf+OS)'!F600/1000</f>
        <v/>
      </c>
      <c r="M449" s="2963" t="n"/>
      <c r="N449" s="2960" t="n"/>
      <c r="O449" s="2963" t="n"/>
      <c r="P449" s="2963">
        <f>' SET Cost(staf+OS)'!G600/1000</f>
        <v/>
      </c>
      <c r="Q449" s="2963" t="n"/>
      <c r="R449" s="2964" t="n"/>
      <c r="S449" s="2963" t="n"/>
      <c r="T449" s="2963">
        <f>' SET Cost(staf+OS)'!H600/1000</f>
        <v/>
      </c>
      <c r="U449" s="2963" t="n"/>
      <c r="V449" s="2960" t="n"/>
      <c r="W449" s="2963" t="n"/>
      <c r="X449" s="2963">
        <f>' SET Cost(staf+OS)'!I600/1000</f>
        <v/>
      </c>
      <c r="Y449" s="2963" t="n"/>
      <c r="Z449" s="2960" t="n"/>
      <c r="AA449" s="2963" t="n"/>
      <c r="AB449" s="2963">
        <f>' SET Cost(staf+OS)'!J600/1000</f>
        <v/>
      </c>
      <c r="AC449" s="2963" t="n"/>
      <c r="AD449" s="2960" t="n"/>
      <c r="AE449" s="2963" t="n"/>
      <c r="AF449" s="2963">
        <f>' SET Cost(staf+OS)'!K600/1000</f>
        <v/>
      </c>
      <c r="AG449" s="2963" t="n"/>
      <c r="AH449" s="2960" t="n"/>
      <c r="AI449" s="2963" t="n"/>
      <c r="AJ449" s="2963">
        <f>' SET Cost(staf+OS)'!L600/1000</f>
        <v/>
      </c>
      <c r="AK449" s="2963" t="n"/>
      <c r="AL449" s="2964" t="n"/>
      <c r="AM449" s="2963" t="n"/>
      <c r="AN449" s="2963">
        <f>' SET Cost(staf+OS)'!M600/1000</f>
        <v/>
      </c>
      <c r="AO449" s="2963" t="n"/>
      <c r="AP449" s="2964" t="n"/>
      <c r="AQ449" s="2963" t="n"/>
      <c r="AR449" s="2963">
        <f>' SET Cost(staf+OS)'!N600/1000</f>
        <v/>
      </c>
      <c r="AS449" s="2963" t="n"/>
      <c r="AT449" s="2964" t="n"/>
      <c r="AU449" s="2963" t="n"/>
      <c r="AV449" s="2963">
        <f>' SET Cost(staf+OS)'!O600/1000</f>
        <v/>
      </c>
      <c r="AW449" s="2963" t="n"/>
      <c r="AX449" s="2964" t="n"/>
      <c r="AY449" s="2963" t="n"/>
      <c r="AZ449" s="2963">
        <f>SUM(C449:AW449)</f>
        <v/>
      </c>
      <c r="BA449" s="2963" t="n"/>
    </row>
    <row r="450" spans="1:55">
      <c r="A450" s="2967" t="s">
        <v>369</v>
      </c>
      <c r="B450" s="2964" t="n"/>
      <c r="C450" s="2963" t="n"/>
      <c r="D450" s="2963">
        <f>' SET Cost(staf+OS)'!D601/1000</f>
        <v/>
      </c>
      <c r="E450" s="2963" t="n"/>
      <c r="F450" s="2964" t="n"/>
      <c r="G450" s="2963" t="n"/>
      <c r="H450" s="2963">
        <f>' SET Cost(staf+OS)'!E601/1000</f>
        <v/>
      </c>
      <c r="I450" s="2963" t="n"/>
      <c r="J450" s="2964" t="n"/>
      <c r="K450" s="2963" t="n"/>
      <c r="L450" s="2963">
        <f>' SET Cost(staf+OS)'!F601/1000</f>
        <v/>
      </c>
      <c r="M450" s="2963" t="n"/>
      <c r="N450" s="2960" t="n"/>
      <c r="O450" s="2963" t="n"/>
      <c r="P450" s="2963">
        <f>' SET Cost(staf+OS)'!G601/1000</f>
        <v/>
      </c>
      <c r="Q450" s="2963" t="n"/>
      <c r="R450" s="2964" t="n"/>
      <c r="S450" s="2963" t="n"/>
      <c r="T450" s="2963">
        <f>' SET Cost(staf+OS)'!H601/1000</f>
        <v/>
      </c>
      <c r="U450" s="2963" t="n"/>
      <c r="V450" s="2960" t="n"/>
      <c r="W450" s="2963" t="n"/>
      <c r="X450" s="2963">
        <f>' SET Cost(staf+OS)'!I601/1000</f>
        <v/>
      </c>
      <c r="Y450" s="2963" t="n"/>
      <c r="Z450" s="2960" t="n"/>
      <c r="AA450" s="2963" t="n"/>
      <c r="AB450" s="2963">
        <f>' SET Cost(staf+OS)'!J601/1000</f>
        <v/>
      </c>
      <c r="AC450" s="2963" t="n"/>
      <c r="AD450" s="2960" t="n"/>
      <c r="AE450" s="2963" t="n"/>
      <c r="AF450" s="2963">
        <f>' SET Cost(staf+OS)'!K601/1000</f>
        <v/>
      </c>
      <c r="AG450" s="2963" t="n"/>
      <c r="AH450" s="2960" t="n"/>
      <c r="AI450" s="2963" t="n"/>
      <c r="AJ450" s="2963">
        <f>' SET Cost(staf+OS)'!L601/1000</f>
        <v/>
      </c>
      <c r="AK450" s="2963" t="n"/>
      <c r="AL450" s="2964" t="n"/>
      <c r="AM450" s="2963" t="n"/>
      <c r="AN450" s="2963">
        <f>' SET Cost(staf+OS)'!M601/1000</f>
        <v/>
      </c>
      <c r="AO450" s="2963" t="n"/>
      <c r="AP450" s="2964" t="n"/>
      <c r="AQ450" s="2963" t="n"/>
      <c r="AR450" s="2963">
        <f>' SET Cost(staf+OS)'!N601/1000</f>
        <v/>
      </c>
      <c r="AS450" s="2963" t="n"/>
      <c r="AT450" s="2964" t="n"/>
      <c r="AU450" s="2963" t="n"/>
      <c r="AV450" s="2963">
        <f>' SET Cost(staf+OS)'!O601/1000</f>
        <v/>
      </c>
      <c r="AW450" s="2963" t="n"/>
      <c r="AX450" s="2964" t="n"/>
      <c r="AY450" s="2963" t="n"/>
      <c r="AZ450" s="2963">
        <f>SUM(C450:AW450)</f>
        <v/>
      </c>
      <c r="BA450" s="2963" t="n"/>
    </row>
    <row r="451" spans="1:55">
      <c r="A451" s="2966" t="s">
        <v>370</v>
      </c>
      <c r="B451" s="2964" t="n"/>
      <c r="C451" s="2965" t="n"/>
      <c r="D451" s="2963">
        <f>' SET Cost(staf+OS)'!D602/1000</f>
        <v/>
      </c>
      <c r="E451" s="2963" t="n"/>
      <c r="F451" s="2964" t="n"/>
      <c r="G451" s="2963" t="n"/>
      <c r="H451" s="2963">
        <f>' SET Cost(staf+OS)'!E602/1000</f>
        <v/>
      </c>
      <c r="I451" s="2963" t="n"/>
      <c r="J451" s="2964" t="n"/>
      <c r="K451" s="2963" t="n"/>
      <c r="L451" s="2963">
        <f>' SET Cost(staf+OS)'!F602/1000</f>
        <v/>
      </c>
      <c r="M451" s="2963" t="n"/>
      <c r="N451" s="2960" t="n"/>
      <c r="O451" s="2963" t="n"/>
      <c r="P451" s="2963">
        <f>' SET Cost(staf+OS)'!G602/1000</f>
        <v/>
      </c>
      <c r="Q451" s="2963" t="n"/>
      <c r="R451" s="2964" t="n"/>
      <c r="S451" s="2963" t="n"/>
      <c r="T451" s="2963">
        <f>' SET Cost(staf+OS)'!H602/1000</f>
        <v/>
      </c>
      <c r="U451" s="2963" t="n"/>
      <c r="V451" s="2960" t="n"/>
      <c r="W451" s="2963" t="n"/>
      <c r="X451" s="2963">
        <f>' SET Cost(staf+OS)'!I602/1000</f>
        <v/>
      </c>
      <c r="Y451" s="2963" t="n"/>
      <c r="Z451" s="2960" t="n"/>
      <c r="AA451" s="2963" t="n"/>
      <c r="AB451" s="2963">
        <f>' SET Cost(staf+OS)'!J602/1000</f>
        <v/>
      </c>
      <c r="AC451" s="2963" t="n"/>
      <c r="AD451" s="2960" t="n"/>
      <c r="AE451" s="2963" t="n"/>
      <c r="AF451" s="2963">
        <f>' SET Cost(staf+OS)'!K602/1000</f>
        <v/>
      </c>
      <c r="AG451" s="2963" t="n"/>
      <c r="AH451" s="2960" t="n"/>
      <c r="AI451" s="2963" t="n"/>
      <c r="AJ451" s="2963">
        <f>' SET Cost(staf+OS)'!L602/1000</f>
        <v/>
      </c>
      <c r="AK451" s="2963" t="n"/>
      <c r="AL451" s="2964" t="n"/>
      <c r="AM451" s="2963" t="n"/>
      <c r="AN451" s="2963">
        <f>' SET Cost(staf+OS)'!M602/1000</f>
        <v/>
      </c>
      <c r="AO451" s="2963" t="n"/>
      <c r="AP451" s="2964" t="n"/>
      <c r="AQ451" s="2963" t="n"/>
      <c r="AR451" s="2963">
        <f>' SET Cost(staf+OS)'!N602/1000</f>
        <v/>
      </c>
      <c r="AS451" s="2963" t="n"/>
      <c r="AT451" s="2964" t="n"/>
      <c r="AU451" s="2963" t="n"/>
      <c r="AV451" s="2963">
        <f>' SET Cost(staf+OS)'!O602/1000</f>
        <v/>
      </c>
      <c r="AW451" s="2965" t="n"/>
      <c r="AX451" s="2964" t="n"/>
      <c r="AY451" s="2965" t="n"/>
      <c r="AZ451" s="2963">
        <f>SUM(C451:AW451)</f>
        <v/>
      </c>
      <c r="BA451" s="2965" t="n"/>
    </row>
    <row r="452" spans="1:55">
      <c r="A452" s="2966" t="s">
        <v>371</v>
      </c>
      <c r="B452" s="2964" t="n"/>
      <c r="C452" s="2965" t="n"/>
      <c r="D452" s="2963">
        <f>' SET Cost(staf+OS)'!D603/1000</f>
        <v/>
      </c>
      <c r="E452" s="2963" t="n"/>
      <c r="F452" s="2964" t="n"/>
      <c r="G452" s="2963" t="n"/>
      <c r="H452" s="2963">
        <f>' SET Cost(staf+OS)'!E603/1000</f>
        <v/>
      </c>
      <c r="I452" s="2963" t="n"/>
      <c r="J452" s="2964" t="n"/>
      <c r="K452" s="2963" t="n"/>
      <c r="L452" s="2963">
        <f>' SET Cost(staf+OS)'!F603/1000</f>
        <v/>
      </c>
      <c r="M452" s="2963" t="n"/>
      <c r="N452" s="2960" t="n"/>
      <c r="O452" s="2963" t="n"/>
      <c r="P452" s="2963">
        <f>' SET Cost(staf+OS)'!G603/1000</f>
        <v/>
      </c>
      <c r="Q452" s="2963" t="n"/>
      <c r="R452" s="2964" t="n"/>
      <c r="S452" s="2963" t="n"/>
      <c r="T452" s="2963">
        <f>' SET Cost(staf+OS)'!H603/1000</f>
        <v/>
      </c>
      <c r="U452" s="2963" t="n"/>
      <c r="V452" s="2960" t="n"/>
      <c r="W452" s="2963" t="n"/>
      <c r="X452" s="2963">
        <f>' SET Cost(staf+OS)'!I603/1000</f>
        <v/>
      </c>
      <c r="Y452" s="2963" t="n"/>
      <c r="Z452" s="2960" t="n"/>
      <c r="AA452" s="2963" t="n"/>
      <c r="AB452" s="2963">
        <f>' SET Cost(staf+OS)'!J603/1000</f>
        <v/>
      </c>
      <c r="AC452" s="2963" t="n"/>
      <c r="AD452" s="2960" t="n"/>
      <c r="AE452" s="2963" t="n"/>
      <c r="AF452" s="2963">
        <f>' SET Cost(staf+OS)'!K603/1000</f>
        <v/>
      </c>
      <c r="AG452" s="2963" t="n"/>
      <c r="AH452" s="2960" t="n"/>
      <c r="AI452" s="2963" t="n"/>
      <c r="AJ452" s="2963">
        <f>' SET Cost(staf+OS)'!L603/1000</f>
        <v/>
      </c>
      <c r="AK452" s="2963" t="n"/>
      <c r="AL452" s="2964" t="n"/>
      <c r="AM452" s="2963" t="n"/>
      <c r="AN452" s="2963">
        <f>' SET Cost(staf+OS)'!M603/1000</f>
        <v/>
      </c>
      <c r="AO452" s="2963" t="n"/>
      <c r="AP452" s="2964" t="n"/>
      <c r="AQ452" s="2963" t="n"/>
      <c r="AR452" s="2963">
        <f>' SET Cost(staf+OS)'!N603/1000</f>
        <v/>
      </c>
      <c r="AS452" s="2963" t="n"/>
      <c r="AT452" s="2964" t="n"/>
      <c r="AU452" s="2963" t="n"/>
      <c r="AV452" s="2963">
        <f>' SET Cost(staf+OS)'!O603/1000</f>
        <v/>
      </c>
      <c r="AW452" s="2965" t="n"/>
      <c r="AX452" s="2964" t="n"/>
      <c r="AY452" s="2965" t="n"/>
      <c r="AZ452" s="2963">
        <f>SUM(C452:AW452)</f>
        <v/>
      </c>
      <c r="BA452" s="2965" t="n"/>
    </row>
    <row r="453" spans="1:55">
      <c r="A453" s="2966" t="s">
        <v>372</v>
      </c>
      <c r="B453" s="2964" t="n"/>
      <c r="C453" s="2965" t="n"/>
      <c r="D453" s="2963">
        <f>' SET Cost(staf+OS)'!D604/1000</f>
        <v/>
      </c>
      <c r="E453" s="2963" t="n"/>
      <c r="F453" s="2964" t="n"/>
      <c r="G453" s="2963" t="n"/>
      <c r="H453" s="2963">
        <f>' SET Cost(staf+OS)'!E604/1000</f>
        <v/>
      </c>
      <c r="I453" s="2963" t="n"/>
      <c r="J453" s="2964" t="n"/>
      <c r="K453" s="2963" t="n"/>
      <c r="L453" s="2963">
        <f>' SET Cost(staf+OS)'!F604/1000</f>
        <v/>
      </c>
      <c r="M453" s="2963" t="n"/>
      <c r="N453" s="2960" t="n"/>
      <c r="O453" s="2963" t="n"/>
      <c r="P453" s="2963">
        <f>' SET Cost(staf+OS)'!G604/1000</f>
        <v/>
      </c>
      <c r="Q453" s="2963" t="n"/>
      <c r="R453" s="2964" t="n"/>
      <c r="S453" s="2963" t="n"/>
      <c r="T453" s="2963">
        <f>' SET Cost(staf+OS)'!H604/1000</f>
        <v/>
      </c>
      <c r="U453" s="2963" t="n"/>
      <c r="V453" s="2960" t="n"/>
      <c r="W453" s="2963" t="n"/>
      <c r="X453" s="2963">
        <f>' SET Cost(staf+OS)'!I604/1000</f>
        <v/>
      </c>
      <c r="Y453" s="2963" t="n"/>
      <c r="Z453" s="2960" t="n"/>
      <c r="AA453" s="2963" t="n"/>
      <c r="AB453" s="2963">
        <f>' SET Cost(staf+OS)'!J604/1000</f>
        <v/>
      </c>
      <c r="AC453" s="2963" t="n"/>
      <c r="AD453" s="2960" t="n"/>
      <c r="AE453" s="2963" t="n"/>
      <c r="AF453" s="2963">
        <f>' SET Cost(staf+OS)'!K604/1000</f>
        <v/>
      </c>
      <c r="AG453" s="2963" t="n"/>
      <c r="AH453" s="2960" t="n"/>
      <c r="AI453" s="2963" t="n"/>
      <c r="AJ453" s="2963">
        <f>' SET Cost(staf+OS)'!L604/1000</f>
        <v/>
      </c>
      <c r="AK453" s="2963" t="n"/>
      <c r="AL453" s="2964" t="n"/>
      <c r="AM453" s="2963" t="n"/>
      <c r="AN453" s="2963">
        <f>' SET Cost(staf+OS)'!M604/1000</f>
        <v/>
      </c>
      <c r="AO453" s="2963" t="n"/>
      <c r="AP453" s="2964" t="n"/>
      <c r="AQ453" s="2963" t="n"/>
      <c r="AR453" s="2963">
        <f>' SET Cost(staf+OS)'!N604/1000</f>
        <v/>
      </c>
      <c r="AS453" s="2963" t="n"/>
      <c r="AT453" s="2964" t="n"/>
      <c r="AU453" s="2963" t="n"/>
      <c r="AV453" s="2963">
        <f>' SET Cost(staf+OS)'!O604/1000</f>
        <v/>
      </c>
      <c r="AW453" s="2965" t="n"/>
      <c r="AX453" s="2964" t="n"/>
      <c r="AY453" s="2965" t="n"/>
      <c r="AZ453" s="2963">
        <f>SUM(C453:AW453)</f>
        <v/>
      </c>
      <c r="BA453" s="2965" t="n"/>
    </row>
    <row r="454" spans="1:55">
      <c r="A454" s="2967" t="s">
        <v>89</v>
      </c>
      <c r="B454" s="2964" t="n"/>
      <c r="C454" s="2963">
        <f>'FY18 SET'!G31/1000</f>
        <v/>
      </c>
      <c r="D454" s="2963" t="n"/>
      <c r="E454" s="2963" t="n"/>
      <c r="F454" s="2964" t="n"/>
      <c r="G454" s="2963">
        <f>'FY18 SET'!H31/1000</f>
        <v/>
      </c>
      <c r="H454" s="2963" t="n"/>
      <c r="I454" s="2963" t="n"/>
      <c r="J454" s="2964" t="n"/>
      <c r="K454" s="2963">
        <f>'FY18 SET'!I31/1000</f>
        <v/>
      </c>
      <c r="L454" s="2963" t="n"/>
      <c r="M454" s="2963" t="n"/>
      <c r="N454" s="2960" t="n"/>
      <c r="O454" s="2963">
        <f>'FY18 SET'!J31/1000</f>
        <v/>
      </c>
      <c r="P454" s="2963" t="n"/>
      <c r="Q454" s="2963" t="n"/>
      <c r="R454" s="2964" t="n"/>
      <c r="S454" s="2963">
        <f>'FY18 SET'!K31/1000</f>
        <v/>
      </c>
      <c r="T454" s="2963" t="n"/>
      <c r="U454" s="2963" t="n"/>
      <c r="V454" s="2960" t="n"/>
      <c r="W454" s="2963">
        <f>'FY18 SET'!L31/1000</f>
        <v/>
      </c>
      <c r="X454" s="2963" t="n"/>
      <c r="Y454" s="2963" t="n"/>
      <c r="Z454" s="2960" t="n"/>
      <c r="AA454" s="2963">
        <f>'FY18 SET'!N31/1000</f>
        <v/>
      </c>
      <c r="AB454" s="2963" t="n"/>
      <c r="AC454" s="2963" t="n"/>
      <c r="AD454" s="2960" t="n"/>
      <c r="AE454" s="2963">
        <f>'FY18 SET'!O31/1000</f>
        <v/>
      </c>
      <c r="AF454" s="2963" t="n"/>
      <c r="AG454" s="2963" t="n"/>
      <c r="AH454" s="2960" t="n"/>
      <c r="AI454" s="2963">
        <f>'FY18 SET'!P31/1000</f>
        <v/>
      </c>
      <c r="AJ454" s="2963" t="n"/>
      <c r="AK454" s="2963" t="n"/>
      <c r="AL454" s="2964" t="n"/>
      <c r="AM454" s="2963">
        <f>'FY18 SET'!Q31/1000</f>
        <v/>
      </c>
      <c r="AN454" s="2963" t="n"/>
      <c r="AO454" s="2963" t="n"/>
      <c r="AP454" s="2964" t="n"/>
      <c r="AQ454" s="2963">
        <f>'FY18 SET'!R31/1000</f>
        <v/>
      </c>
      <c r="AR454" s="2963" t="n"/>
      <c r="AS454" s="2963" t="n"/>
      <c r="AT454" s="2964" t="n"/>
      <c r="AU454" s="2963">
        <f>'FY18 SET'!S31/1000</f>
        <v/>
      </c>
      <c r="AV454" s="2963" t="n"/>
      <c r="AW454" s="2963" t="n"/>
      <c r="AX454" s="2964" t="n"/>
      <c r="AY454" s="2963">
        <f>SUM(B454:AV454)</f>
        <v/>
      </c>
      <c r="AZ454" s="2963" t="n"/>
      <c r="BA454" s="2963" t="n"/>
    </row>
    <row r="455" spans="1:55">
      <c r="A455" s="2967" t="s">
        <v>153</v>
      </c>
      <c r="B455" s="2964" t="n"/>
      <c r="C455" s="2963" t="n"/>
      <c r="D455" s="2963" t="n"/>
      <c r="E455" s="2963">
        <f>SUM(C437:C455)-SUM(D437:D455)</f>
        <v/>
      </c>
      <c r="F455" s="2964" t="n"/>
      <c r="G455" s="2963" t="n"/>
      <c r="H455" s="2963" t="n"/>
      <c r="I455" s="2963">
        <f>SUM(G437:G455)-SUM(H437:H455)</f>
        <v/>
      </c>
      <c r="J455" s="2964" t="n"/>
      <c r="K455" s="2963" t="n"/>
      <c r="L455" s="2963" t="n"/>
      <c r="M455" s="2963">
        <f>SUM(K437:K455)-SUM(L437:L455)</f>
        <v/>
      </c>
      <c r="N455" s="2960" t="n"/>
      <c r="O455" s="2963" t="n"/>
      <c r="P455" s="2963" t="n"/>
      <c r="Q455" s="2963">
        <f>SUM(O437:O455)-SUM(P437:P455)</f>
        <v/>
      </c>
      <c r="R455" s="2964" t="n"/>
      <c r="S455" s="2963" t="n"/>
      <c r="T455" s="2963" t="n"/>
      <c r="U455" s="2963">
        <f>SUM(S437:S455)-SUM(T437:T455)</f>
        <v/>
      </c>
      <c r="V455" s="2960" t="n"/>
      <c r="W455" s="2963" t="n"/>
      <c r="X455" s="2963" t="n"/>
      <c r="Y455" s="2963">
        <f>SUM(W437:W455)-SUM(X437:X455)</f>
        <v/>
      </c>
      <c r="Z455" s="2960" t="n"/>
      <c r="AA455" s="2963" t="n"/>
      <c r="AB455" s="2963" t="n"/>
      <c r="AC455" s="2963">
        <f>SUM(AA437:AA455)-SUM(AB437:AB455)</f>
        <v/>
      </c>
      <c r="AD455" s="2960" t="n"/>
      <c r="AE455" s="2963" t="n"/>
      <c r="AF455" s="2963" t="n"/>
      <c r="AG455" s="2963">
        <f>SUM(AE437:AE455)-SUM(AF437:AF455)</f>
        <v/>
      </c>
      <c r="AH455" s="2960" t="n"/>
      <c r="AI455" s="2963" t="n"/>
      <c r="AJ455" s="2963" t="n"/>
      <c r="AK455" s="2963">
        <f>SUM(AI437:AI455)-SUM(AJ437:AJ455)</f>
        <v/>
      </c>
      <c r="AL455" s="2964" t="n"/>
      <c r="AM455" s="2963" t="n"/>
      <c r="AN455" s="2963" t="n"/>
      <c r="AO455" s="2963">
        <f>SUM(AM437:AM455)-SUM(AN437:AN455)</f>
        <v/>
      </c>
      <c r="AP455" s="2964" t="n"/>
      <c r="AQ455" s="2963" t="n"/>
      <c r="AR455" s="2963" t="n"/>
      <c r="AS455" s="2963">
        <f>SUM(AQ437:AQ455)-SUM(AR437:AR455)</f>
        <v/>
      </c>
      <c r="AT455" s="2964" t="n"/>
      <c r="AU455" s="2963" t="n"/>
      <c r="AV455" s="2963" t="n"/>
      <c r="AW455" s="2963">
        <f>SUM(AU437:AU455)-SUM(AV437:AV455)</f>
        <v/>
      </c>
      <c r="AX455" s="2964" t="n"/>
      <c r="AY455" s="2963" t="n"/>
      <c r="AZ455" s="2963" t="n"/>
      <c r="BA455" s="2965">
        <f>SUM(D455:AY455)</f>
        <v/>
      </c>
    </row>
    <row customFormat="1" r="456" s="2802" spans="1:55">
      <c r="A456" s="2970" t="s">
        <v>173</v>
      </c>
      <c r="B456" s="2971" t="n"/>
      <c r="C456" s="2972">
        <f>SUM(C437:C455)</f>
        <v/>
      </c>
      <c r="D456" s="2972">
        <f>SUM(D437:D455)</f>
        <v/>
      </c>
      <c r="E456" s="2972">
        <f>SUM(E455:E455)</f>
        <v/>
      </c>
      <c r="F456" s="2971" t="n"/>
      <c r="G456" s="2972">
        <f>SUM(G437:G455)</f>
        <v/>
      </c>
      <c r="H456" s="2972">
        <f>SUM(H437:H455)</f>
        <v/>
      </c>
      <c r="I456" s="2972">
        <f>SUM(I455:I455)</f>
        <v/>
      </c>
      <c r="J456" s="2971" t="n"/>
      <c r="K456" s="2972">
        <f>SUM(K437:K455)</f>
        <v/>
      </c>
      <c r="L456" s="2972">
        <f>SUM(L437:L455)</f>
        <v/>
      </c>
      <c r="M456" s="2972">
        <f>SUM(M455:M455)</f>
        <v/>
      </c>
      <c r="N456" s="2973" t="n"/>
      <c r="O456" s="2972">
        <f>SUM(O437:O455)</f>
        <v/>
      </c>
      <c r="P456" s="2972">
        <f>SUM(P437:P455)</f>
        <v/>
      </c>
      <c r="Q456" s="2972">
        <f>SUM(Q455:Q455)</f>
        <v/>
      </c>
      <c r="R456" s="2971" t="n"/>
      <c r="S456" s="2972">
        <f>SUM(S437:S455)</f>
        <v/>
      </c>
      <c r="T456" s="2972">
        <f>SUM(T437:T455)</f>
        <v/>
      </c>
      <c r="U456" s="2972">
        <f>SUM(U455:U455)</f>
        <v/>
      </c>
      <c r="V456" s="2973" t="n"/>
      <c r="W456" s="2972">
        <f>SUM(W437:W455)</f>
        <v/>
      </c>
      <c r="X456" s="2972">
        <f>SUM(X437:X455)</f>
        <v/>
      </c>
      <c r="Y456" s="2972">
        <f>SUM(Y455:Y455)</f>
        <v/>
      </c>
      <c r="Z456" s="2973" t="n"/>
      <c r="AA456" s="2972">
        <f>SUM(AA437:AA455)</f>
        <v/>
      </c>
      <c r="AB456" s="2972">
        <f>SUM(AB437:AB455)</f>
        <v/>
      </c>
      <c r="AC456" s="2972">
        <f>SUM(AC455:AC455)</f>
        <v/>
      </c>
      <c r="AD456" s="2973" t="n"/>
      <c r="AE456" s="2972">
        <f>SUM(AE437:AE455)</f>
        <v/>
      </c>
      <c r="AF456" s="2972">
        <f>SUM(AF437:AF455)</f>
        <v/>
      </c>
      <c r="AG456" s="2972">
        <f>SUM(AG455:AG455)</f>
        <v/>
      </c>
      <c r="AH456" s="2973" t="n"/>
      <c r="AI456" s="2972">
        <f>SUM(AI437:AI455)</f>
        <v/>
      </c>
      <c r="AJ456" s="2972">
        <f>SUM(AJ437:AJ455)</f>
        <v/>
      </c>
      <c r="AK456" s="2972">
        <f>SUM(AK455:AK455)</f>
        <v/>
      </c>
      <c r="AL456" s="2971" t="n"/>
      <c r="AM456" s="2972">
        <f>SUM(AM437:AM455)</f>
        <v/>
      </c>
      <c r="AN456" s="2972">
        <f>SUM(AN437:AN455)</f>
        <v/>
      </c>
      <c r="AO456" s="2972">
        <f>SUM(AO455:AO455)</f>
        <v/>
      </c>
      <c r="AP456" s="2971" t="n"/>
      <c r="AQ456" s="2972">
        <f>SUM(AQ437:AQ455)</f>
        <v/>
      </c>
      <c r="AR456" s="2972">
        <f>SUM(AR437:AR455)</f>
        <v/>
      </c>
      <c r="AS456" s="2972">
        <f>SUM(AS455:AS455)</f>
        <v/>
      </c>
      <c r="AT456" s="2971" t="n"/>
      <c r="AU456" s="2972">
        <f>SUM(AU437:AU455)</f>
        <v/>
      </c>
      <c r="AV456" s="2972">
        <f>SUM(AV437:AV455)</f>
        <v/>
      </c>
      <c r="AW456" s="2972">
        <f>SUM(AW455:AW455)</f>
        <v/>
      </c>
      <c r="AX456" s="2971" t="n"/>
      <c r="AY456" s="2970">
        <f>SUM(AY437:AY455)</f>
        <v/>
      </c>
      <c r="AZ456" s="2970">
        <f>SUM(AZ437:AZ455)</f>
        <v/>
      </c>
      <c r="BA456" s="2970">
        <f>SUM(BA455:BA455)</f>
        <v/>
      </c>
    </row>
    <row customFormat="1" r="457" s="2808" spans="1:55">
      <c r="A457" s="2970" t="s">
        <v>396</v>
      </c>
      <c r="B457" s="2971" t="n"/>
      <c r="C457" s="2972" t="n"/>
      <c r="D457" s="2972" t="n"/>
      <c r="E457" s="2974">
        <f>E456/C456</f>
        <v/>
      </c>
      <c r="F457" s="2971" t="n"/>
      <c r="G457" s="2972" t="n"/>
      <c r="H457" s="2972" t="n"/>
      <c r="I457" s="2974">
        <f>I456/G456</f>
        <v/>
      </c>
      <c r="J457" s="2971" t="n"/>
      <c r="K457" s="2972" t="n"/>
      <c r="L457" s="2972" t="n"/>
      <c r="M457" s="2974">
        <f>M456/K456</f>
        <v/>
      </c>
      <c r="N457" s="2975" t="n"/>
      <c r="O457" s="2972" t="n"/>
      <c r="P457" s="2972" t="n"/>
      <c r="Q457" s="2974">
        <f>Q456/O456</f>
        <v/>
      </c>
      <c r="R457" s="2971" t="n"/>
      <c r="S457" s="2972" t="n"/>
      <c r="T457" s="2972" t="n"/>
      <c r="U457" s="2974">
        <f>U456/S456</f>
        <v/>
      </c>
      <c r="V457" s="2975" t="n"/>
      <c r="W457" s="2972" t="n"/>
      <c r="X457" s="2972" t="n"/>
      <c r="Y457" s="2974">
        <f>Y456/W456</f>
        <v/>
      </c>
      <c r="Z457" s="2975" t="n"/>
      <c r="AA457" s="2972" t="n"/>
      <c r="AB457" s="2972" t="n"/>
      <c r="AC457" s="2974">
        <f>AC456/AA456</f>
        <v/>
      </c>
      <c r="AD457" s="2975" t="n"/>
      <c r="AE457" s="2972" t="n"/>
      <c r="AF457" s="2972" t="n"/>
      <c r="AG457" s="2974">
        <f>AG456/AE456</f>
        <v/>
      </c>
      <c r="AH457" s="2975" t="n"/>
      <c r="AI457" s="2972" t="n"/>
      <c r="AJ457" s="2972" t="n"/>
      <c r="AK457" s="2974">
        <f>AK456/AI456</f>
        <v/>
      </c>
      <c r="AL457" s="2971" t="n"/>
      <c r="AM457" s="2972" t="n"/>
      <c r="AN457" s="2972" t="n"/>
      <c r="AO457" s="2974">
        <f>AO456/AM456</f>
        <v/>
      </c>
      <c r="AP457" s="2971" t="n"/>
      <c r="AQ457" s="2972" t="n"/>
      <c r="AR457" s="2972" t="n"/>
      <c r="AS457" s="2974">
        <f>AS456/AQ456</f>
        <v/>
      </c>
      <c r="AT457" s="2971" t="n"/>
      <c r="AU457" s="2972" t="n"/>
      <c r="AV457" s="2972" t="n"/>
      <c r="AW457" s="2974">
        <f>AW456/AU456</f>
        <v/>
      </c>
      <c r="AX457" s="2971" t="n"/>
      <c r="AY457" s="2970" t="n"/>
      <c r="AZ457" s="2970" t="n"/>
      <c r="BA457" s="2974">
        <f>BA456/AY456</f>
        <v/>
      </c>
    </row>
  </sheetData>
  <mergeCells count="247">
    <mergeCell ref="O266:Q266"/>
    <mergeCell ref="S266:U266"/>
    <mergeCell ref="W266:Y266"/>
    <mergeCell ref="C49:E49"/>
    <mergeCell ref="G49:I49"/>
    <mergeCell ref="K49:M49"/>
    <mergeCell ref="O49:Q49"/>
    <mergeCell ref="S49:U49"/>
    <mergeCell ref="C146:E146"/>
    <mergeCell ref="G146:I146"/>
    <mergeCell ref="C170:E170"/>
    <mergeCell ref="G170:I170"/>
    <mergeCell ref="K170:M170"/>
    <mergeCell ref="O170:Q170"/>
    <mergeCell ref="S170:U170"/>
    <mergeCell ref="W170:Y170"/>
    <mergeCell ref="W49:Y49"/>
    <mergeCell ref="C218:E218"/>
    <mergeCell ref="G218:I218"/>
    <mergeCell ref="K218:M218"/>
    <mergeCell ref="O218:Q218"/>
    <mergeCell ref="S218:U218"/>
    <mergeCell ref="W218:Y218"/>
    <mergeCell ref="C242:E242"/>
    <mergeCell ref="C1:E1"/>
    <mergeCell ref="G1:I1"/>
    <mergeCell ref="K1:M1"/>
    <mergeCell ref="O1:Q1"/>
    <mergeCell ref="S1:U1"/>
    <mergeCell ref="G25:I25"/>
    <mergeCell ref="K25:M25"/>
    <mergeCell ref="C25:E25"/>
    <mergeCell ref="C314:E314"/>
    <mergeCell ref="G314:I314"/>
    <mergeCell ref="K314:M314"/>
    <mergeCell ref="O314:Q314"/>
    <mergeCell ref="S314:U314"/>
    <mergeCell ref="C290:E290"/>
    <mergeCell ref="G290:I290"/>
    <mergeCell ref="K290:M290"/>
    <mergeCell ref="O290:Q290"/>
    <mergeCell ref="S290:U290"/>
    <mergeCell ref="C194:E194"/>
    <mergeCell ref="O25:Q25"/>
    <mergeCell ref="S25:U25"/>
    <mergeCell ref="C266:E266"/>
    <mergeCell ref="G266:I266"/>
    <mergeCell ref="K266:M266"/>
    <mergeCell ref="AA49:AC49"/>
    <mergeCell ref="AE146:AG146"/>
    <mergeCell ref="AA194:AC194"/>
    <mergeCell ref="AY1:BA1"/>
    <mergeCell ref="AQ25:AS25"/>
    <mergeCell ref="AU25:AW25"/>
    <mergeCell ref="AY25:BA25"/>
    <mergeCell ref="W25:Y25"/>
    <mergeCell ref="AA25:AC25"/>
    <mergeCell ref="AE25:AG25"/>
    <mergeCell ref="AI25:AK25"/>
    <mergeCell ref="AM25:AO25"/>
    <mergeCell ref="AQ1:AS1"/>
    <mergeCell ref="AU1:AW1"/>
    <mergeCell ref="W1:Y1"/>
    <mergeCell ref="AA1:AC1"/>
    <mergeCell ref="AE1:AG1"/>
    <mergeCell ref="AI1:AK1"/>
    <mergeCell ref="AM1:AO1"/>
    <mergeCell ref="AE49:AG49"/>
    <mergeCell ref="AI49:AK49"/>
    <mergeCell ref="AM49:AO49"/>
    <mergeCell ref="AQ49:AS49"/>
    <mergeCell ref="AU49:AW49"/>
    <mergeCell ref="AI266:AK266"/>
    <mergeCell ref="AE290:AG290"/>
    <mergeCell ref="AI290:AK290"/>
    <mergeCell ref="AE266:AG266"/>
    <mergeCell ref="W314:Y314"/>
    <mergeCell ref="AA314:AC314"/>
    <mergeCell ref="AE314:AG314"/>
    <mergeCell ref="W290:Y290"/>
    <mergeCell ref="AA290:AC290"/>
    <mergeCell ref="AA266:AC266"/>
    <mergeCell ref="AQ314:AS314"/>
    <mergeCell ref="AM314:AO314"/>
    <mergeCell ref="AM338:AO338"/>
    <mergeCell ref="AQ338:AS338"/>
    <mergeCell ref="AU338:AW338"/>
    <mergeCell ref="AY338:BA338"/>
    <mergeCell ref="AU218:AW218"/>
    <mergeCell ref="AY218:BA218"/>
    <mergeCell ref="AM242:AO242"/>
    <mergeCell ref="AQ242:AS242"/>
    <mergeCell ref="AU242:AW242"/>
    <mergeCell ref="AY242:BA242"/>
    <mergeCell ref="AY314:BA314"/>
    <mergeCell ref="AU314:AW314"/>
    <mergeCell ref="AU266:AW266"/>
    <mergeCell ref="AM266:AO266"/>
    <mergeCell ref="AQ266:AS266"/>
    <mergeCell ref="C435:E435"/>
    <mergeCell ref="G435:I435"/>
    <mergeCell ref="K435:M435"/>
    <mergeCell ref="O435:Q435"/>
    <mergeCell ref="S435:U435"/>
    <mergeCell ref="W435:Y435"/>
    <mergeCell ref="AA435:AC435"/>
    <mergeCell ref="C387:E387"/>
    <mergeCell ref="G387:I387"/>
    <mergeCell ref="K387:M387"/>
    <mergeCell ref="O387:Q387"/>
    <mergeCell ref="S387:U387"/>
    <mergeCell ref="W387:Y387"/>
    <mergeCell ref="AA387:AC387"/>
    <mergeCell ref="C363:E363"/>
    <mergeCell ref="G363:I363"/>
    <mergeCell ref="K363:M363"/>
    <mergeCell ref="O363:Q363"/>
    <mergeCell ref="S363:U363"/>
    <mergeCell ref="W363:Y363"/>
    <mergeCell ref="AA363:AC363"/>
    <mergeCell ref="AE363:AG363"/>
    <mergeCell ref="AI363:AK363"/>
    <mergeCell ref="AY194:BA194"/>
    <mergeCell ref="AQ194:AS194"/>
    <mergeCell ref="AU194:AW194"/>
    <mergeCell ref="AE218:AG218"/>
    <mergeCell ref="AI218:AK218"/>
    <mergeCell ref="AM218:AO218"/>
    <mergeCell ref="AQ218:AS218"/>
    <mergeCell ref="AM194:AO194"/>
    <mergeCell ref="AE435:AG435"/>
    <mergeCell ref="AI435:AK435"/>
    <mergeCell ref="AI314:AK314"/>
    <mergeCell ref="AM363:AO363"/>
    <mergeCell ref="AY266:BA266"/>
    <mergeCell ref="AM435:AO435"/>
    <mergeCell ref="AQ435:AS435"/>
    <mergeCell ref="AU435:AW435"/>
    <mergeCell ref="AY435:BA435"/>
    <mergeCell ref="AM290:AO290"/>
    <mergeCell ref="AQ290:AS290"/>
    <mergeCell ref="AU290:AW290"/>
    <mergeCell ref="AY290:BA290"/>
    <mergeCell ref="AY363:BA363"/>
    <mergeCell ref="AU363:AW363"/>
    <mergeCell ref="AQ363:AS363"/>
    <mergeCell ref="AY49:BA49"/>
    <mergeCell ref="AU146:AW146"/>
    <mergeCell ref="AY146:BA146"/>
    <mergeCell ref="AQ170:AS170"/>
    <mergeCell ref="AU170:AW170"/>
    <mergeCell ref="AY170:BA170"/>
    <mergeCell ref="AE170:AG170"/>
    <mergeCell ref="AI170:AK170"/>
    <mergeCell ref="AA146:AC146"/>
    <mergeCell ref="AI146:AK146"/>
    <mergeCell ref="AM146:AO146"/>
    <mergeCell ref="AQ146:AS146"/>
    <mergeCell ref="AM170:AO170"/>
    <mergeCell ref="AA170:AC170"/>
    <mergeCell ref="AE73:AG73"/>
    <mergeCell ref="AI73:AK73"/>
    <mergeCell ref="AM73:AO73"/>
    <mergeCell ref="AQ73:AS73"/>
    <mergeCell ref="AU73:AW73"/>
    <mergeCell ref="AY73:BA73"/>
    <mergeCell ref="AM121:AO121"/>
    <mergeCell ref="AQ121:AS121"/>
    <mergeCell ref="AU121:AW121"/>
    <mergeCell ref="AY121:BA121"/>
    <mergeCell ref="AE387:AG387"/>
    <mergeCell ref="AI387:AK387"/>
    <mergeCell ref="AM387:AO387"/>
    <mergeCell ref="AQ387:AS387"/>
    <mergeCell ref="AU387:AW387"/>
    <mergeCell ref="AY387:BA387"/>
    <mergeCell ref="C411:E411"/>
    <mergeCell ref="G411:I411"/>
    <mergeCell ref="K411:M411"/>
    <mergeCell ref="O411:Q411"/>
    <mergeCell ref="S411:U411"/>
    <mergeCell ref="W411:Y411"/>
    <mergeCell ref="AA411:AC411"/>
    <mergeCell ref="AE411:AG411"/>
    <mergeCell ref="AI411:AK411"/>
    <mergeCell ref="AM411:AO411"/>
    <mergeCell ref="AQ411:AS411"/>
    <mergeCell ref="AU411:AW411"/>
    <mergeCell ref="AY411:BA411"/>
    <mergeCell ref="C338:E338"/>
    <mergeCell ref="G338:I338"/>
    <mergeCell ref="K338:M338"/>
    <mergeCell ref="O338:Q338"/>
    <mergeCell ref="S338:U338"/>
    <mergeCell ref="W338:Y338"/>
    <mergeCell ref="AA338:AC338"/>
    <mergeCell ref="AE338:AG338"/>
    <mergeCell ref="AI338:AK338"/>
    <mergeCell ref="AE121:AG121"/>
    <mergeCell ref="AI121:AK121"/>
    <mergeCell ref="G242:I242"/>
    <mergeCell ref="K242:M242"/>
    <mergeCell ref="O242:Q242"/>
    <mergeCell ref="S242:U242"/>
    <mergeCell ref="W242:Y242"/>
    <mergeCell ref="AA242:AC242"/>
    <mergeCell ref="AE242:AG242"/>
    <mergeCell ref="AI242:AK242"/>
    <mergeCell ref="K146:M146"/>
    <mergeCell ref="O146:Q146"/>
    <mergeCell ref="S146:U146"/>
    <mergeCell ref="W146:Y146"/>
    <mergeCell ref="AA218:AC218"/>
    <mergeCell ref="AI194:AK194"/>
    <mergeCell ref="AE194:AG194"/>
    <mergeCell ref="G194:I194"/>
    <mergeCell ref="K194:M194"/>
    <mergeCell ref="O194:Q194"/>
    <mergeCell ref="S194:U194"/>
    <mergeCell ref="W194:Y194"/>
    <mergeCell ref="C73:E73"/>
    <mergeCell ref="G73:I73"/>
    <mergeCell ref="K73:M73"/>
    <mergeCell ref="O73:Q73"/>
    <mergeCell ref="S73:U73"/>
    <mergeCell ref="W73:Y73"/>
    <mergeCell ref="AA73:AC73"/>
    <mergeCell ref="C121:E121"/>
    <mergeCell ref="G121:I121"/>
    <mergeCell ref="K121:M121"/>
    <mergeCell ref="O121:Q121"/>
    <mergeCell ref="S121:U121"/>
    <mergeCell ref="W121:Y121"/>
    <mergeCell ref="AA121:AC121"/>
    <mergeCell ref="W97:Y97"/>
    <mergeCell ref="AA97:AC97"/>
    <mergeCell ref="AE97:AG97"/>
    <mergeCell ref="AI97:AK97"/>
    <mergeCell ref="AM97:AO97"/>
    <mergeCell ref="AQ97:AS97"/>
    <mergeCell ref="AU97:AW97"/>
    <mergeCell ref="AY97:BA97"/>
    <mergeCell ref="C97:E97"/>
    <mergeCell ref="G97:I97"/>
    <mergeCell ref="K97:M97"/>
    <mergeCell ref="O97:Q97"/>
    <mergeCell ref="S97:U97"/>
  </mergeCells>
  <pageMargins bottom="0.984251968503937" footer="0.5118110236220472" header="0.5118110236220472" left="0.7480314960629921" right="0.7480314960629921" top="0.984251968503937"/>
  <pageSetup orientation="landscape" scale="6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5109200290</dc:creator>
  <dcterms:created xsi:type="dcterms:W3CDTF">2010-12-10T05:21:50Z</dcterms:created>
  <dcterms:modified xsi:type="dcterms:W3CDTF">2018-09-15T01:58:39Z</dcterms:modified>
  <cp:lastModifiedBy>Rebecca</cp:lastModifiedBy>
</cp:coreProperties>
</file>