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44\OneDrive\Github\UK-wood-mfa\data\"/>
    </mc:Choice>
  </mc:AlternateContent>
  <xr:revisionPtr revIDLastSave="0" documentId="13_ncr:1_{6A32C294-9F51-4C3F-9AE9-E6B71C11870C}" xr6:coauthVersionLast="47" xr6:coauthVersionMax="47" xr10:uidLastSave="{00000000-0000-0000-0000-000000000000}"/>
  <bookViews>
    <workbookView xWindow="-108" yWindow="-108" windowWidth="23256" windowHeight="12576" tabRatio="1000" xr2:uid="{7F14FEB3-C7FB-4348-9BE1-B4681E14C868}"/>
  </bookViews>
  <sheets>
    <sheet name="Observations" sheetId="1" r:id="rId1"/>
    <sheet name="Roundwood and other raw wood" sheetId="10" r:id="rId2"/>
    <sheet name="Sawnwood" sheetId="8" r:id="rId3"/>
    <sheet name="By-products " sheetId="13" r:id="rId4"/>
    <sheet name="Wood-panels" sheetId="9" r:id="rId5"/>
    <sheet name="Pulp and Paper" sheetId="14" r:id="rId6"/>
    <sheet name="Industrial packaging" sheetId="4" r:id="rId7"/>
    <sheet name="Furniture" sheetId="3" r:id="rId8"/>
    <sheet name="Other objects" sheetId="6" r:id="rId9"/>
    <sheet name="Joinery" sheetId="5" r:id="rId10"/>
    <sheet name="Construction" sheetId="7" r:id="rId11"/>
    <sheet name="Fencing and outdoors" sheetId="17" r:id="rId12"/>
    <sheet name="Wood pellets" sheetId="16" r:id="rId13"/>
    <sheet name="RMI and Refurbishment" sheetId="15" r:id="rId14"/>
    <sheet name="Houses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4" i="1" l="1"/>
  <c r="R49" i="1"/>
  <c r="R124" i="1"/>
  <c r="S124" i="1" s="1"/>
  <c r="S123" i="1"/>
  <c r="R123" i="1"/>
  <c r="S122" i="1"/>
  <c r="R122" i="1"/>
  <c r="R121" i="1"/>
  <c r="S121" i="1" s="1"/>
  <c r="R120" i="1"/>
  <c r="S120" i="1" s="1"/>
  <c r="S119" i="1"/>
  <c r="R119" i="1"/>
  <c r="S118" i="1"/>
  <c r="R118" i="1"/>
  <c r="R117" i="1"/>
  <c r="S117" i="1" s="1"/>
  <c r="S116" i="1"/>
  <c r="R116" i="1"/>
  <c r="R115" i="1"/>
  <c r="S115" i="1" s="1"/>
  <c r="S114" i="1"/>
  <c r="R113" i="1"/>
  <c r="S113" i="1" s="1"/>
  <c r="S112" i="1"/>
  <c r="R112" i="1"/>
  <c r="R83" i="1"/>
  <c r="S83" i="1" s="1"/>
  <c r="S82" i="1"/>
  <c r="R82" i="1"/>
  <c r="E18" i="7"/>
  <c r="E17" i="7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  <c r="R3" i="1" l="1"/>
  <c r="H88" i="1"/>
  <c r="H86" i="1"/>
  <c r="H65" i="1"/>
  <c r="H61" i="1"/>
  <c r="H60" i="1"/>
  <c r="H59" i="1"/>
  <c r="H58" i="1"/>
  <c r="H5" i="1"/>
  <c r="H92" i="1"/>
  <c r="H91" i="1"/>
  <c r="H56" i="1"/>
  <c r="F14" i="10"/>
  <c r="F15" i="10"/>
  <c r="F16" i="10"/>
  <c r="F13" i="10"/>
  <c r="H95" i="1"/>
  <c r="H94" i="1"/>
  <c r="H89" i="1"/>
  <c r="H87" i="1"/>
  <c r="H78" i="1"/>
  <c r="H79" i="1"/>
  <c r="H66" i="1"/>
  <c r="H63" i="1"/>
  <c r="H62" i="1"/>
  <c r="E24" i="5"/>
  <c r="E25" i="5"/>
  <c r="E26" i="5"/>
  <c r="E27" i="5"/>
  <c r="E28" i="5"/>
  <c r="E29" i="5"/>
  <c r="E30" i="5"/>
  <c r="E23" i="5"/>
  <c r="K10" i="5"/>
  <c r="E10" i="5" s="1"/>
  <c r="K11" i="5"/>
  <c r="K12" i="5"/>
  <c r="K13" i="5"/>
  <c r="K14" i="5"/>
  <c r="K15" i="5"/>
  <c r="K16" i="5"/>
  <c r="K17" i="5"/>
  <c r="K18" i="5"/>
  <c r="K19" i="5"/>
  <c r="E19" i="5" s="1"/>
  <c r="K20" i="5"/>
  <c r="K21" i="5"/>
  <c r="K9" i="5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20" i="5"/>
  <c r="E21" i="5"/>
  <c r="E22" i="5"/>
  <c r="E2" i="5"/>
  <c r="R7" i="4"/>
  <c r="H67" i="1"/>
  <c r="H93" i="1"/>
  <c r="H80" i="1"/>
  <c r="E3" i="6"/>
  <c r="E4" i="6"/>
  <c r="E5" i="6"/>
  <c r="E6" i="6"/>
  <c r="E7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4" i="6"/>
  <c r="E35" i="6"/>
  <c r="E2" i="6"/>
  <c r="H108" i="1"/>
  <c r="H111" i="1"/>
  <c r="H110" i="1"/>
  <c r="H109" i="1"/>
  <c r="H107" i="1"/>
  <c r="H106" i="1"/>
  <c r="H105" i="1"/>
  <c r="H104" i="1"/>
  <c r="H103" i="1"/>
  <c r="H102" i="1"/>
  <c r="H101" i="1"/>
  <c r="H100" i="1"/>
  <c r="H99" i="1"/>
  <c r="H98" i="1"/>
  <c r="H97" i="1"/>
  <c r="E13" i="3"/>
  <c r="E14" i="3"/>
  <c r="E15" i="3"/>
  <c r="E16" i="3"/>
  <c r="E17" i="3"/>
  <c r="E18" i="3"/>
  <c r="E19" i="3"/>
  <c r="E20" i="3"/>
  <c r="E21" i="3"/>
  <c r="E22" i="3"/>
  <c r="E23" i="3"/>
  <c r="E12" i="3"/>
  <c r="E3" i="3"/>
  <c r="E4" i="3"/>
  <c r="E5" i="3"/>
  <c r="E6" i="3"/>
  <c r="E7" i="3"/>
  <c r="E8" i="3"/>
  <c r="E2" i="3"/>
  <c r="H47" i="1"/>
  <c r="E3" i="16"/>
  <c r="E4" i="16"/>
  <c r="E2" i="16"/>
  <c r="H50" i="1"/>
  <c r="K11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K6" i="14"/>
  <c r="F2" i="14"/>
  <c r="K2" i="14"/>
  <c r="F11" i="9"/>
  <c r="F3" i="9"/>
  <c r="F4" i="9"/>
  <c r="F5" i="9"/>
  <c r="F6" i="9"/>
  <c r="F7" i="9"/>
  <c r="F8" i="9"/>
  <c r="F9" i="9"/>
  <c r="F10" i="9"/>
  <c r="F2" i="9"/>
  <c r="F11" i="13"/>
  <c r="F3" i="13"/>
  <c r="F4" i="13"/>
  <c r="F2" i="13"/>
  <c r="F3" i="8"/>
  <c r="F4" i="8"/>
  <c r="F5" i="8"/>
  <c r="F6" i="8"/>
  <c r="F7" i="8"/>
  <c r="F2" i="8"/>
  <c r="F3" i="10"/>
  <c r="F4" i="10"/>
  <c r="F5" i="10"/>
  <c r="F6" i="10"/>
  <c r="F7" i="10"/>
  <c r="F8" i="10"/>
  <c r="F9" i="10"/>
  <c r="F10" i="10"/>
  <c r="F11" i="10"/>
  <c r="F12" i="10"/>
  <c r="F2" i="10"/>
  <c r="L2" i="10" l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R69" i="1"/>
  <c r="R70" i="1"/>
  <c r="R71" i="1"/>
  <c r="R72" i="1"/>
  <c r="R73" i="1"/>
  <c r="R74" i="1"/>
  <c r="R68" i="1"/>
  <c r="W7" i="4" l="1"/>
  <c r="V7" i="4"/>
  <c r="R81" i="1"/>
  <c r="S81" i="1" s="1"/>
  <c r="R17" i="1"/>
  <c r="R2" i="1"/>
  <c r="S2" i="1" s="1"/>
  <c r="S3" i="1"/>
  <c r="U7" i="4" l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8" i="1"/>
  <c r="K97" i="1"/>
  <c r="K99" i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99" i="1"/>
  <c r="S99" i="1" s="1"/>
  <c r="R101" i="1"/>
  <c r="S101" i="1" s="1"/>
  <c r="R100" i="1"/>
  <c r="S100" i="1" s="1"/>
  <c r="R98" i="1"/>
  <c r="S98" i="1" s="1"/>
  <c r="R97" i="1"/>
  <c r="S97" i="1" s="1"/>
  <c r="R96" i="1"/>
  <c r="S96" i="1" s="1"/>
  <c r="K96" i="1"/>
  <c r="H96" i="1"/>
  <c r="K95" i="1" l="1"/>
  <c r="R95" i="1"/>
  <c r="S95" i="1" s="1"/>
  <c r="K88" i="1"/>
  <c r="H46" i="1"/>
  <c r="K85" i="1"/>
  <c r="H85" i="1"/>
  <c r="N3" i="5"/>
  <c r="K94" i="1"/>
  <c r="R94" i="1"/>
  <c r="S94" i="1" s="1"/>
  <c r="N12" i="10" l="1"/>
  <c r="H57" i="1" s="1"/>
  <c r="K93" i="1"/>
  <c r="K92" i="1"/>
  <c r="K91" i="1"/>
  <c r="K90" i="1"/>
  <c r="K89" i="1"/>
  <c r="K87" i="1"/>
  <c r="K86" i="1"/>
  <c r="K11" i="1"/>
  <c r="K10" i="1"/>
  <c r="K9" i="1"/>
  <c r="K8" i="1"/>
  <c r="N15" i="5" l="1"/>
  <c r="N16" i="5"/>
  <c r="N17" i="5"/>
  <c r="N18" i="5"/>
  <c r="N19" i="5"/>
  <c r="N20" i="5"/>
  <c r="N21" i="5"/>
  <c r="N14" i="5"/>
  <c r="N13" i="5"/>
  <c r="N10" i="5"/>
  <c r="N11" i="5"/>
  <c r="N12" i="5"/>
  <c r="N9" i="5"/>
  <c r="N5" i="5"/>
  <c r="K5" i="5" s="1"/>
  <c r="N4" i="5"/>
  <c r="K4" i="5" s="1"/>
  <c r="N7" i="5"/>
  <c r="N6" i="5"/>
  <c r="N2" i="5"/>
  <c r="K3" i="5"/>
  <c r="J3" i="9" l="1"/>
  <c r="J4" i="9"/>
  <c r="J5" i="9"/>
  <c r="J6" i="9"/>
  <c r="J7" i="9"/>
  <c r="J8" i="9"/>
  <c r="J9" i="9"/>
  <c r="J10" i="9"/>
  <c r="J11" i="9"/>
  <c r="J2" i="9"/>
  <c r="P3" i="4" l="1"/>
  <c r="P4" i="4"/>
  <c r="R4" i="4" s="1"/>
  <c r="P5" i="4"/>
  <c r="R5" i="4" s="1"/>
  <c r="P6" i="4"/>
  <c r="R6" i="4" s="1"/>
  <c r="P7" i="4"/>
  <c r="P10" i="4"/>
  <c r="R10" i="4" s="1"/>
  <c r="P11" i="4"/>
  <c r="R11" i="4" s="1"/>
  <c r="P12" i="4"/>
  <c r="R12" i="4" s="1"/>
  <c r="P13" i="4"/>
  <c r="R13" i="4" s="1"/>
  <c r="P14" i="4"/>
  <c r="R14" i="4" s="1"/>
  <c r="P15" i="4"/>
  <c r="R15" i="4" s="1"/>
  <c r="P16" i="4"/>
  <c r="R16" i="4" s="1"/>
  <c r="P17" i="4"/>
  <c r="R17" i="4" s="1"/>
  <c r="P2" i="4"/>
  <c r="V3" i="4"/>
  <c r="V2" i="4"/>
  <c r="L4" i="13"/>
  <c r="L3" i="13"/>
  <c r="L2" i="13"/>
  <c r="N8" i="10"/>
  <c r="N6" i="10"/>
  <c r="N16" i="10"/>
  <c r="N15" i="10"/>
  <c r="N11" i="10"/>
  <c r="I17" i="4" l="1"/>
  <c r="E17" i="4"/>
  <c r="I14" i="4"/>
  <c r="E14" i="4"/>
  <c r="I16" i="4"/>
  <c r="E16" i="4"/>
  <c r="I15" i="4"/>
  <c r="E15" i="4"/>
  <c r="I13" i="4"/>
  <c r="E13" i="4"/>
  <c r="I12" i="4"/>
  <c r="E12" i="4"/>
  <c r="I11" i="4"/>
  <c r="E11" i="4"/>
  <c r="I10" i="4"/>
  <c r="E10" i="4"/>
  <c r="I7" i="4"/>
  <c r="E7" i="4"/>
  <c r="H81" i="1" s="1"/>
  <c r="I6" i="4"/>
  <c r="E6" i="4"/>
  <c r="I5" i="4"/>
  <c r="E5" i="4"/>
  <c r="I4" i="4"/>
  <c r="E4" i="4"/>
  <c r="W3" i="4"/>
  <c r="U3" i="4" s="1"/>
  <c r="R3" i="4" s="1"/>
  <c r="W2" i="4"/>
  <c r="U2" i="4" s="1"/>
  <c r="R2" i="4" s="1"/>
  <c r="K3" i="1"/>
  <c r="K2" i="1"/>
  <c r="N17" i="13"/>
  <c r="N11" i="13"/>
  <c r="N3" i="13"/>
  <c r="N4" i="13"/>
  <c r="N2" i="13"/>
  <c r="N14" i="10"/>
  <c r="H8" i="1" s="1"/>
  <c r="H9" i="1"/>
  <c r="N3" i="10"/>
  <c r="N4" i="10"/>
  <c r="N5" i="10"/>
  <c r="N7" i="10"/>
  <c r="N9" i="10"/>
  <c r="N10" i="10"/>
  <c r="N2" i="10"/>
  <c r="O3" i="3"/>
  <c r="O4" i="3"/>
  <c r="O5" i="3"/>
  <c r="O6" i="3"/>
  <c r="O7" i="3"/>
  <c r="O8" i="3"/>
  <c r="O2" i="3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77" i="1"/>
  <c r="S77" i="1" s="1"/>
  <c r="R78" i="1"/>
  <c r="S78" i="1" s="1"/>
  <c r="R79" i="1"/>
  <c r="S79" i="1" s="1"/>
  <c r="R80" i="1"/>
  <c r="S80" i="1" s="1"/>
  <c r="R75" i="1"/>
  <c r="S75" i="1" s="1"/>
  <c r="S68" i="1"/>
  <c r="S69" i="1"/>
  <c r="S70" i="1"/>
  <c r="S71" i="1"/>
  <c r="S72" i="1"/>
  <c r="S73" i="1"/>
  <c r="S74" i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4" i="1"/>
  <c r="R5" i="1"/>
  <c r="S5" i="1" s="1"/>
  <c r="R6" i="1"/>
  <c r="S6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S49" i="1"/>
  <c r="R50" i="1"/>
  <c r="S50" i="1" s="1"/>
  <c r="R40" i="1"/>
  <c r="S40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S17" i="1"/>
  <c r="I2" i="4" l="1"/>
  <c r="E2" i="4"/>
  <c r="I3" i="4"/>
  <c r="E3" i="4"/>
  <c r="X3" i="4"/>
  <c r="S4" i="1"/>
  <c r="H3" i="1" l="1"/>
  <c r="H90" i="1"/>
  <c r="H2" i="1" l="1"/>
  <c r="M10" i="15"/>
  <c r="M14" i="14" l="1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O8" i="14" s="1"/>
  <c r="M7" i="14"/>
  <c r="O7" i="14" s="1"/>
  <c r="M6" i="14"/>
  <c r="O6" i="14" s="1"/>
  <c r="M5" i="14"/>
  <c r="O5" i="14" s="1"/>
  <c r="M4" i="14"/>
  <c r="O4" i="14" s="1"/>
  <c r="M3" i="14"/>
  <c r="O3" i="14" s="1"/>
  <c r="M17" i="14"/>
  <c r="O17" i="14" s="1"/>
  <c r="M16" i="14"/>
  <c r="O16" i="14" s="1"/>
  <c r="M15" i="14"/>
  <c r="O15" i="14" s="1"/>
  <c r="M2" i="14"/>
  <c r="O2" i="14" s="1"/>
  <c r="H27" i="1" l="1"/>
  <c r="H28" i="1"/>
  <c r="H53" i="1"/>
  <c r="H26" i="1"/>
  <c r="H35" i="1"/>
  <c r="H36" i="1"/>
  <c r="H44" i="1"/>
  <c r="H45" i="1"/>
  <c r="H42" i="1"/>
  <c r="H33" i="1"/>
  <c r="H34" i="1"/>
  <c r="H37" i="1"/>
  <c r="H38" i="1"/>
  <c r="H39" i="1"/>
  <c r="H40" i="1"/>
  <c r="H43" i="1"/>
  <c r="H52" i="1"/>
  <c r="H54" i="1"/>
  <c r="H55" i="1"/>
  <c r="H32" i="1"/>
  <c r="H48" i="1"/>
  <c r="H64" i="1"/>
  <c r="K2" i="5"/>
  <c r="K61" i="1"/>
  <c r="H31" i="1"/>
  <c r="H30" i="1"/>
  <c r="X2" i="4"/>
  <c r="H29" i="1" l="1"/>
  <c r="H4" i="1"/>
  <c r="H75" i="1"/>
  <c r="I6" i="6"/>
  <c r="F3" i="11" l="1"/>
  <c r="H69" i="1" s="1"/>
  <c r="F4" i="11"/>
  <c r="H70" i="1" s="1"/>
  <c r="F5" i="11"/>
  <c r="H71" i="1" s="1"/>
  <c r="F6" i="11"/>
  <c r="H72" i="1" s="1"/>
  <c r="F7" i="11"/>
  <c r="H73" i="1" s="1"/>
  <c r="F8" i="11"/>
  <c r="H74" i="1" s="1"/>
  <c r="F2" i="11"/>
  <c r="H68" i="1" s="1"/>
  <c r="K77" i="1"/>
  <c r="M3" i="15" l="1"/>
  <c r="M4" i="15" s="1"/>
  <c r="K59" i="1"/>
  <c r="K60" i="1"/>
  <c r="K58" i="1"/>
  <c r="M11" i="15" l="1"/>
  <c r="N11" i="15" s="1"/>
  <c r="H19" i="1"/>
  <c r="H21" i="1"/>
  <c r="H22" i="1"/>
  <c r="H17" i="1"/>
  <c r="H16" i="1"/>
  <c r="H25" i="1"/>
  <c r="H24" i="1"/>
  <c r="H23" i="1"/>
  <c r="H20" i="1"/>
  <c r="H18" i="1"/>
  <c r="N4" i="15" l="1"/>
  <c r="H14" i="1"/>
  <c r="H7" i="1"/>
  <c r="H12" i="1"/>
  <c r="H15" i="1"/>
  <c r="H13" i="1"/>
  <c r="H6" i="1"/>
  <c r="N8" i="3"/>
  <c r="N7" i="3"/>
  <c r="N6" i="3"/>
  <c r="N5" i="3"/>
  <c r="N4" i="3"/>
  <c r="N3" i="3"/>
  <c r="N2" i="3"/>
  <c r="L17" i="13" l="1"/>
  <c r="H41" i="1"/>
  <c r="H11" i="1"/>
  <c r="N13" i="10"/>
  <c r="H10" i="1" s="1"/>
  <c r="F17" i="13" l="1"/>
  <c r="H49" i="1" s="1"/>
</calcChain>
</file>

<file path=xl/sharedStrings.xml><?xml version="1.0" encoding="utf-8"?>
<sst xmlns="http://schemas.openxmlformats.org/spreadsheetml/2006/main" count="2528" uniqueCount="491">
  <si>
    <t>Region</t>
  </si>
  <si>
    <t>TimePeriod</t>
  </si>
  <si>
    <t>Role</t>
  </si>
  <si>
    <t>Object</t>
  </si>
  <si>
    <t>Process</t>
  </si>
  <si>
    <t>UnitedKingdom</t>
  </si>
  <si>
    <t>YearOf2019</t>
  </si>
  <si>
    <t>Import</t>
  </si>
  <si>
    <t>HardwoodRoundwood</t>
  </si>
  <si>
    <t>SoftwoodRoundwood</t>
  </si>
  <si>
    <t>ProcessInput</t>
  </si>
  <si>
    <t>SawmillsSoftwood</t>
  </si>
  <si>
    <t>SawmillsHardwood</t>
  </si>
  <si>
    <t>ProcessOutput</t>
  </si>
  <si>
    <t>SoftwoodSawnwood</t>
  </si>
  <si>
    <t>HardwoodSawnwood</t>
  </si>
  <si>
    <t>Export</t>
  </si>
  <si>
    <t>SoldProduction</t>
  </si>
  <si>
    <t>Fibreboard</t>
  </si>
  <si>
    <t>Particleboard</t>
  </si>
  <si>
    <t>VeneerSheets</t>
  </si>
  <si>
    <t>Plywood</t>
  </si>
  <si>
    <t>FencingManufacturing</t>
  </si>
  <si>
    <t>WBPmanufacturing</t>
  </si>
  <si>
    <t>ByProducts</t>
  </si>
  <si>
    <t>RecycledWoodFibre</t>
  </si>
  <si>
    <t>GraphicPapers</t>
  </si>
  <si>
    <t>SanitaryPapers</t>
  </si>
  <si>
    <t>Packaging</t>
  </si>
  <si>
    <t>OtherPaperProducts</t>
  </si>
  <si>
    <t>Pulp</t>
  </si>
  <si>
    <t>WoodPellets</t>
  </si>
  <si>
    <t>Pulpmills</t>
  </si>
  <si>
    <t>WoodPelletsManufacturing</t>
  </si>
  <si>
    <t>PostConsumerWood</t>
  </si>
  <si>
    <t>RecycledPaper</t>
  </si>
  <si>
    <t>Doors</t>
  </si>
  <si>
    <t>Windows</t>
  </si>
  <si>
    <t>Flooring</t>
  </si>
  <si>
    <t>OtherObjects</t>
  </si>
  <si>
    <t>EndTerracedHouses</t>
  </si>
  <si>
    <t>MidTerracedHouses</t>
  </si>
  <si>
    <t>SemiDetachedHouses</t>
  </si>
  <si>
    <t>DetachedHouses</t>
  </si>
  <si>
    <t>Bungalows</t>
  </si>
  <si>
    <t>ConvertedFlats</t>
  </si>
  <si>
    <t>FlatLowRise</t>
  </si>
  <si>
    <t>Refurbishments</t>
  </si>
  <si>
    <t>FramesManufacturing</t>
  </si>
  <si>
    <t>ExternalCladdingManufacturing</t>
  </si>
  <si>
    <t>UpperFloorsManufacturing</t>
  </si>
  <si>
    <t>RoofManufacturing</t>
  </si>
  <si>
    <t>PartitionsManufacturing</t>
  </si>
  <si>
    <t xml:space="preserve">Number of items </t>
  </si>
  <si>
    <t>Raw data</t>
  </si>
  <si>
    <t xml:space="preserve">Unit of raw data </t>
  </si>
  <si>
    <t>Unit</t>
  </si>
  <si>
    <t xml:space="preserve">kg </t>
  </si>
  <si>
    <t>Volume</t>
  </si>
  <si>
    <t>Source</t>
  </si>
  <si>
    <t>-</t>
  </si>
  <si>
    <t>Table 2.5</t>
  </si>
  <si>
    <t>Number of items</t>
  </si>
  <si>
    <t>kg per item</t>
  </si>
  <si>
    <t>Seats; with wooden frames, upholstered, (excluding medical, surgical, dental, veterinary or barber furniture)</t>
  </si>
  <si>
    <t>Seats; with wooden frames, not upholstered, (excluding medical, surgical, dental, veterinary or barber furniture)</t>
  </si>
  <si>
    <t>Furniture; wooden, for office use</t>
  </si>
  <si>
    <t>Furniture; wooden, for kitchen use</t>
  </si>
  <si>
    <t>Furniture; wooden, for bedroom use</t>
  </si>
  <si>
    <t>Furniture; wooden, other than for office, kitchen or bedroom use</t>
  </si>
  <si>
    <t>Code</t>
  </si>
  <si>
    <t>Prod</t>
  </si>
  <si>
    <t>Year</t>
  </si>
  <si>
    <t>Flow</t>
  </si>
  <si>
    <t>kg of flow</t>
  </si>
  <si>
    <t>Density (kg/m3) at 12% MC</t>
  </si>
  <si>
    <t xml:space="preserve">green tonnes </t>
  </si>
  <si>
    <t>green tonnes</t>
  </si>
  <si>
    <t>Table 2.6</t>
  </si>
  <si>
    <t>Green MC</t>
  </si>
  <si>
    <t>thousand tonnes</t>
  </si>
  <si>
    <t>Table 3.2</t>
  </si>
  <si>
    <t>Table 3.4a</t>
  </si>
  <si>
    <t>Table 3.5a</t>
  </si>
  <si>
    <t>Table 2.17</t>
  </si>
  <si>
    <t>Table 2.20</t>
  </si>
  <si>
    <t>Table 2.22</t>
  </si>
  <si>
    <t>Thousand tonnes</t>
  </si>
  <si>
    <t>Table 2.33</t>
  </si>
  <si>
    <t>Table 2.30</t>
  </si>
  <si>
    <t>million tonnes</t>
  </si>
  <si>
    <t>Prodcom 2019</t>
  </si>
  <si>
    <t>Wood; pallets, box pallets and other load boards; pallet collars</t>
  </si>
  <si>
    <t>Comtrade 2016</t>
  </si>
  <si>
    <t>Comtrade 2019</t>
  </si>
  <si>
    <t>ProdCom 2019</t>
  </si>
  <si>
    <t>Wood; windows, French-windows and their frames</t>
  </si>
  <si>
    <t>Wood; doors and their frames and thresholds</t>
  </si>
  <si>
    <t>Wood; shuttering for concrete constructional work</t>
  </si>
  <si>
    <t>Wood; shingles and shakes</t>
  </si>
  <si>
    <t>Wood; posts and beams</t>
  </si>
  <si>
    <t>Wood; assembled flooring panels, of bamboo or with at least the top layer (wear layer) of bamboo</t>
  </si>
  <si>
    <t>Wood; assembled flooring panels, not of bamboo or with at least the top layer (wear layer) of bamboo, for mosaic floors</t>
  </si>
  <si>
    <t>Wood; assembled flooring panels, not of bamboo or with at least the top layer (wear layer) of bamboo, multilayer</t>
  </si>
  <si>
    <t>Wood; assembled flooring panels, n.e.c in headings 4418.73, 4418.74 or 4418.75</t>
  </si>
  <si>
    <t>kg</t>
  </si>
  <si>
    <t>Calculated in this workbook</t>
  </si>
  <si>
    <t>441872- 441879</t>
  </si>
  <si>
    <t>Square meters</t>
  </si>
  <si>
    <t>kilograms</t>
  </si>
  <si>
    <t>Type of construction</t>
  </si>
  <si>
    <t xml:space="preserve">Raw data </t>
  </si>
  <si>
    <t>Unit of raw data</t>
  </si>
  <si>
    <t>Casks, barrels, vats, tubs, and coopers products and parts thereof of wood INCLUDING: - staves</t>
  </si>
  <si>
    <t xml:space="preserve">Export </t>
  </si>
  <si>
    <t xml:space="preserve">Unit of Raw data </t>
  </si>
  <si>
    <t>16291130  (CN 4417) - Wooden tools, tool bodies, tool handles, broom or brush bodies and handles, boot and shoe lasts and trees</t>
  </si>
  <si>
    <t>16291180  (CN 96140010) - Roughly shaped blocks of wood or root, for the manufacture of pipes</t>
  </si>
  <si>
    <t>16291200  (CN 4419) - Tableware and kitchenware of wood</t>
  </si>
  <si>
    <t>16291300  (CN 4420) - Wood marquetry and inlaid wood; caskets and cases for jewellery or cutlery, and similar articles, statuettes and other ornaments, coat or hat racks, office letter trays, ash trays, pen-trays and ink stands of wood</t>
  </si>
  <si>
    <t>16291420  (CN 4414) - Wooden frames for paintings, photographs, mirrors or similar objects</t>
  </si>
  <si>
    <t>Meters</t>
  </si>
  <si>
    <t>Tableware and kitchenware, of wood</t>
  </si>
  <si>
    <t>Wood marquetry and inlaid wood; caskets and cases for jewellery or cutlery, and similar articles of wood; statuettes and other ornaments of wood; wooden articles of furniture not falling in chapter 94</t>
  </si>
  <si>
    <t>Wooden articles n.e.c. in heading no. 4414 to 4420</t>
  </si>
  <si>
    <t>Tableware and kitchenware, of wood; of bamboo, bread boards, chopping boards and similar boards</t>
  </si>
  <si>
    <t>Tableware and kitchenware, of wood; of bamboo, chopsticks</t>
  </si>
  <si>
    <t>Tableware and kitchenware, of wood; of bamboo, n.e.c. in heading 4419</t>
  </si>
  <si>
    <t>Tableware and kitchenware, of wood; not of bamboo</t>
  </si>
  <si>
    <t>Wood; statuettes and other ornaments of wood</t>
  </si>
  <si>
    <t>Wood; marquetry and inlaid wood, caskets and cases for jewellery or cutlery and similar articles of wood, wooden articles of furniture not falling in chapter 94</t>
  </si>
  <si>
    <t>Wood; clothes hangers</t>
  </si>
  <si>
    <t>Wood; of bamboo, articles n.e.c. in heading no. 4414 to 4420 (excluding clothes hangers)</t>
  </si>
  <si>
    <t>Wood; not of bamboo, articles n.e.c. in heading no. 4414 to 4420 (excluding clothes hangers)</t>
  </si>
  <si>
    <t>16231900  (CN 441860 + 441890) - Builders' joinery and carpentry of wood INCLUDING: - stairs EXCLUDING: - parquet panels - shuttering for concrete constructional work - shingles and shakes - windows, french windows and their frames - doors and their frames and thresholds</t>
  </si>
  <si>
    <t>441840 441850</t>
  </si>
  <si>
    <t>441860 441890</t>
  </si>
  <si>
    <t xml:space="preserve">Calculated </t>
  </si>
  <si>
    <t>Prodcom 2012</t>
  </si>
  <si>
    <t>square meters</t>
  </si>
  <si>
    <t>Comtrade 2019 and 2018</t>
  </si>
  <si>
    <t>Table 2.18</t>
  </si>
  <si>
    <t>Table 3.3</t>
  </si>
  <si>
    <t>ComTrade 2018</t>
  </si>
  <si>
    <t>Observation</t>
  </si>
  <si>
    <t>square meter</t>
  </si>
  <si>
    <t>Reliability</t>
  </si>
  <si>
    <t>Completeness</t>
  </si>
  <si>
    <t>Temporal correlation</t>
  </si>
  <si>
    <t>Geographical correlation</t>
  </si>
  <si>
    <t>Other correlation</t>
  </si>
  <si>
    <t>to 0% moiture content</t>
  </si>
  <si>
    <t>Reference</t>
  </si>
  <si>
    <t>CV</t>
  </si>
  <si>
    <t>Low value</t>
  </si>
  <si>
    <t>High value</t>
  </si>
  <si>
    <t xml:space="preserve">Low value </t>
  </si>
  <si>
    <t xml:space="preserve">High value </t>
  </si>
  <si>
    <t>Mean</t>
  </si>
  <si>
    <t>Sawmills by-product</t>
  </si>
  <si>
    <t>Sawmills yield</t>
  </si>
  <si>
    <t>MC</t>
  </si>
  <si>
    <t>Calculated in this workbook (12% MC)</t>
  </si>
  <si>
    <t>NewPulpMaking</t>
  </si>
  <si>
    <t>RMI</t>
  </si>
  <si>
    <t xml:space="preserve">New-builds </t>
  </si>
  <si>
    <t>Calculated using newly-built floor areas and material intensities</t>
  </si>
  <si>
    <t>Difference between Builders' joinery and carpentry of wood and new-builds</t>
  </si>
  <si>
    <t xml:space="preserve">Construction </t>
  </si>
  <si>
    <t xml:space="preserve">Unit of data </t>
  </si>
  <si>
    <t>Sawnwood</t>
  </si>
  <si>
    <t>Non-allocated sawnwood in the MFA</t>
  </si>
  <si>
    <t>Non-allocated particleboard in the MFA</t>
  </si>
  <si>
    <t>Sum of non-allocated sawnwood and particleboard</t>
  </si>
  <si>
    <t>Ratio</t>
  </si>
  <si>
    <t xml:space="preserve">Sum of non-allocated sawnwood and particleboard minus Refurbishments </t>
  </si>
  <si>
    <t>Total</t>
  </si>
  <si>
    <t>Data</t>
  </si>
  <si>
    <t>Includes wood post and beams so is assumed to concern structural interventions (new-builds and refurbishments)</t>
  </si>
  <si>
    <t>RailwaySleepers</t>
  </si>
  <si>
    <t>Table 2.1b</t>
  </si>
  <si>
    <t>Comtrade (Roundwood)</t>
  </si>
  <si>
    <t>SoftwoodRoundwoodDelivery</t>
  </si>
  <si>
    <t>HardwoodRoundwoodDelivery</t>
  </si>
  <si>
    <t>PulpmillsByProducts</t>
  </si>
  <si>
    <t>PulpmillsRecycledPaper</t>
  </si>
  <si>
    <t>WoodPelletsManufacturingSoftwoodRoundwood</t>
  </si>
  <si>
    <t>ID</t>
  </si>
  <si>
    <t>http://ukfires.org/probs/data/UK-wood/Observation-1</t>
  </si>
  <si>
    <t>http://ukfires.org/probs/data/UK-wood/Observation-2</t>
  </si>
  <si>
    <t>http://ukfires.org/probs/data/UK-wood/Observation-3</t>
  </si>
  <si>
    <t>http://ukfires.org/probs/data/UK-wood/Observation-4</t>
  </si>
  <si>
    <t>http://ukfires.org/probs/data/UK-wood/Observation-5</t>
  </si>
  <si>
    <t>http://ukfires.org/probs/data/UK-wood/Observation-6</t>
  </si>
  <si>
    <t>http://ukfires.org/probs/data/UK-wood/Observation-7</t>
  </si>
  <si>
    <t>http://ukfires.org/probs/data/UK-wood/Observation-8</t>
  </si>
  <si>
    <t>http://ukfires.org/probs/data/UK-wood/Observation-9</t>
  </si>
  <si>
    <t>http://ukfires.org/probs/data/UK-wood/Observation-10</t>
  </si>
  <si>
    <t>http://ukfires.org/probs/data/UK-wood/Observation-11</t>
  </si>
  <si>
    <t>http://ukfires.org/probs/data/UK-wood/Observation-12</t>
  </si>
  <si>
    <t>http://ukfires.org/probs/data/UK-wood/Observation-13</t>
  </si>
  <si>
    <t>http://ukfires.org/probs/data/UK-wood/Observation-14</t>
  </si>
  <si>
    <t>http://ukfires.org/probs/data/UK-wood/Observation-15</t>
  </si>
  <si>
    <t>http://ukfires.org/probs/data/UK-wood/Observation-16</t>
  </si>
  <si>
    <t>http://ukfires.org/probs/data/UK-wood/Observation-17</t>
  </si>
  <si>
    <t>http://ukfires.org/probs/data/UK-wood/Observation-18</t>
  </si>
  <si>
    <t>http://ukfires.org/probs/data/UK-wood/Observation-19</t>
  </si>
  <si>
    <t>http://ukfires.org/probs/data/UK-wood/Observation-20</t>
  </si>
  <si>
    <t>http://ukfires.org/probs/data/UK-wood/Observation-21</t>
  </si>
  <si>
    <t>http://ukfires.org/probs/data/UK-wood/Observation-22</t>
  </si>
  <si>
    <t>http://ukfires.org/probs/data/UK-wood/Observation-23</t>
  </si>
  <si>
    <t>http://ukfires.org/probs/data/UK-wood/Observation-24</t>
  </si>
  <si>
    <t>http://ukfires.org/probs/data/UK-wood/Observation-25</t>
  </si>
  <si>
    <t>http://ukfires.org/probs/data/UK-wood/Observation-26</t>
  </si>
  <si>
    <t>http://ukfires.org/probs/data/UK-wood/Observation-27</t>
  </si>
  <si>
    <t>http://ukfires.org/probs/data/UK-wood/Observation-28</t>
  </si>
  <si>
    <t>http://ukfires.org/probs/data/UK-wood/Observation-29</t>
  </si>
  <si>
    <t>http://ukfires.org/probs/data/UK-wood/Observation-30</t>
  </si>
  <si>
    <t>http://ukfires.org/probs/data/UK-wood/Observation-31</t>
  </si>
  <si>
    <t>http://ukfires.org/probs/data/UK-wood/Observation-32</t>
  </si>
  <si>
    <t>http://ukfires.org/probs/data/UK-wood/Observation-33</t>
  </si>
  <si>
    <t>http://ukfires.org/probs/data/UK-wood/Observation-34</t>
  </si>
  <si>
    <t>http://ukfires.org/probs/data/UK-wood/Observation-35</t>
  </si>
  <si>
    <t>http://ukfires.org/probs/data/UK-wood/Observation-36</t>
  </si>
  <si>
    <t>http://ukfires.org/probs/data/UK-wood/Observation-37</t>
  </si>
  <si>
    <t>http://ukfires.org/probs/data/UK-wood/Observation-38</t>
  </si>
  <si>
    <t>http://ukfires.org/probs/data/UK-wood/Observation-39</t>
  </si>
  <si>
    <t>http://ukfires.org/probs/data/UK-wood/Observation-40</t>
  </si>
  <si>
    <t>http://ukfires.org/probs/data/UK-wood/Observation-41</t>
  </si>
  <si>
    <t>http://ukfires.org/probs/data/UK-wood/Observation-42</t>
  </si>
  <si>
    <t>http://ukfires.org/probs/data/UK-wood/Observation-43</t>
  </si>
  <si>
    <t>http://ukfires.org/probs/data/UK-wood/Observation-44</t>
  </si>
  <si>
    <t>http://ukfires.org/probs/data/UK-wood/Observation-45</t>
  </si>
  <si>
    <t>http://ukfires.org/probs/data/UK-wood/Observation-46</t>
  </si>
  <si>
    <t>http://ukfires.org/probs/data/UK-wood/Observation-47</t>
  </si>
  <si>
    <t>http://ukfires.org/probs/data/UK-wood/Observation-48</t>
  </si>
  <si>
    <t>http://ukfires.org/probs/data/UK-wood/Observation-49</t>
  </si>
  <si>
    <t>http://ukfires.org/probs/data/UK-wood/Observation-50</t>
  </si>
  <si>
    <t>http://ukfires.org/probs/data/UK-wood/Observation-51</t>
  </si>
  <si>
    <t>http://ukfires.org/probs/data/UK-wood/Observation-52</t>
  </si>
  <si>
    <t>http://ukfires.org/probs/data/UK-wood/Observation-53</t>
  </si>
  <si>
    <t>http://ukfires.org/probs/data/UK-wood/Observation-54</t>
  </si>
  <si>
    <t>http://ukfires.org/probs/data/UK-wood/Observation-55</t>
  </si>
  <si>
    <t>http://ukfires.org/probs/data/UK-wood/Observation-56</t>
  </si>
  <si>
    <t>http://ukfires.org/probs/data/UK-wood/Observation-57</t>
  </si>
  <si>
    <t>http://ukfires.org/probs/data/UK-wood/Observation-58</t>
  </si>
  <si>
    <t>http://ukfires.org/probs/data/UK-wood/Observation-59</t>
  </si>
  <si>
    <t>http://ukfires.org/probs/data/UK-wood/Observation-60</t>
  </si>
  <si>
    <t>http://ukfires.org/probs/data/UK-wood/Observation-61</t>
  </si>
  <si>
    <t>http://ukfires.org/probs/data/UK-wood/Observation-62</t>
  </si>
  <si>
    <t>http://ukfires.org/probs/data/UK-wood/Observation-63</t>
  </si>
  <si>
    <t>http://ukfires.org/probs/data/UK-wood/Observation-64</t>
  </si>
  <si>
    <t>http://ukfires.org/probs/data/UK-wood/Observation-65</t>
  </si>
  <si>
    <t>http://ukfires.org/probs/data/UK-wood/Observation-66</t>
  </si>
  <si>
    <t>http://ukfires.org/probs/data/UK-wood/Observation-67</t>
  </si>
  <si>
    <t>http://ukfires.org/probs/data/UK-wood/Observation-68</t>
  </si>
  <si>
    <t>http://ukfires.org/probs/data/UK-wood/Observation-69</t>
  </si>
  <si>
    <t>http://ukfires.org/probs/data/UK-wood/Observation-70</t>
  </si>
  <si>
    <t>http://ukfires.org/probs/data/UK-wood/Observation-71</t>
  </si>
  <si>
    <t>http://ukfires.org/probs/data/UK-wood/Observation-72</t>
  </si>
  <si>
    <t>http://ukfires.org/probs/data/UK-wood/Observation-73</t>
  </si>
  <si>
    <t>http://ukfires.org/probs/data/UK-wood/Observation-74</t>
  </si>
  <si>
    <t>http://ukfires.org/probs/data/UK-wood/Observation-75</t>
  </si>
  <si>
    <t>http://ukfires.org/probs/data/UK-wood/Observation-76</t>
  </si>
  <si>
    <t>http://ukfires.org/probs/data/UK-wood/Observation-77</t>
  </si>
  <si>
    <t>http://ukfires.org/probs/data/UK-wood/Observation-78</t>
  </si>
  <si>
    <t>http://ukfires.org/probs/data/UK-wood/Observation-79</t>
  </si>
  <si>
    <t>http://ukfires.org/probs/data/UK-wood/Observation-80</t>
  </si>
  <si>
    <t>http://ukfires.org/probs/data/UK-wood/Observation-86</t>
  </si>
  <si>
    <t>http://ukfires.org/probs/data/UK-wood/Observation-87</t>
  </si>
  <si>
    <t>http://ukfires.org/probs/data/UK-wood/Observation-89</t>
  </si>
  <si>
    <t>http://ukfires.org/probs/data/UK-wood/Observation-90</t>
  </si>
  <si>
    <t>http://ukfires.org/probs/data/UK-wood/Observation-91</t>
  </si>
  <si>
    <t>http://ukfires.org/probs/data/UK-wood/Observation-92</t>
  </si>
  <si>
    <t>http://ukfires.org/probs/data/UK-wood/Observation-93</t>
  </si>
  <si>
    <t>http://ukfires.org/probs/data/UK-wood/Observation-94</t>
  </si>
  <si>
    <t>http://ukfires.org/probs/data/UK-wood/Observation-95</t>
  </si>
  <si>
    <t>http://ukfires.org/probs/data/UK-wood/Observation-96</t>
  </si>
  <si>
    <t>http://ukfires.org/probs/data/UK-wood/Observation-97</t>
  </si>
  <si>
    <t>http://ukfires.org/probs/data/UK-wood/Observation-98</t>
  </si>
  <si>
    <t>CV in %</t>
  </si>
  <si>
    <t>Sawmills input</t>
  </si>
  <si>
    <t>PulpmillsByProduct</t>
  </si>
  <si>
    <t>Woodchip - Woodsure</t>
  </si>
  <si>
    <t>Low MC</t>
  </si>
  <si>
    <t>High MC</t>
  </si>
  <si>
    <t>Layout 1 (timcon.org)</t>
  </si>
  <si>
    <t>% of sawmills by-products</t>
  </si>
  <si>
    <t>References</t>
  </si>
  <si>
    <t>Simpson, W., &amp; TenWolde, A. (1999). Physical properties and moisture relations of wood. In Wood Handbook- Wood as an engineering material. Forest Products Laboratories.</t>
  </si>
  <si>
    <t>Table 3-3</t>
  </si>
  <si>
    <t>Douglas fir</t>
  </si>
  <si>
    <t>Stika spruce</t>
  </si>
  <si>
    <t>low value</t>
  </si>
  <si>
    <t>high value</t>
  </si>
  <si>
    <t>type (low value)</t>
  </si>
  <si>
    <t>type (high value)</t>
  </si>
  <si>
    <t>Elm</t>
  </si>
  <si>
    <t>Oak willow</t>
  </si>
  <si>
    <t>value for</t>
  </si>
  <si>
    <t>sapwood</t>
  </si>
  <si>
    <t>8% MC</t>
  </si>
  <si>
    <t>to 8% moiture content</t>
  </si>
  <si>
    <t>https://sensorsandtransmitters.com/paper-production-how-measuring-moisture-can-improve-the-final-product/</t>
  </si>
  <si>
    <t>low value MC</t>
  </si>
  <si>
    <t>high value MC</t>
  </si>
  <si>
    <t>mean MC</t>
  </si>
  <si>
    <t>https://www.ukpandi.com/news-and-resources/bulletins/2006/454-0206-mould-growth-on-heat-treated-pallets-worldwide/#:~:text=To%20prevent%20mould%20it%20is,maintained%20throughout%20shipping%20and%20storage.</t>
  </si>
  <si>
    <t>low value (kg/items) converted to 8% MC</t>
  </si>
  <si>
    <t>High value (kg/items) converted to 8% MC</t>
  </si>
  <si>
    <t>https://www.mecalux.co.uk/warehouse-manual/pallet/euro-pallet</t>
  </si>
  <si>
    <t>https://associated-pallets.co.uk/product-category/used-wooden-pallets/cp-pallet-sizes/</t>
  </si>
  <si>
    <t>Type</t>
  </si>
  <si>
    <t>MDF</t>
  </si>
  <si>
    <t xml:space="preserve">Reference </t>
  </si>
  <si>
    <t>https://www.wagnermeters.com/moisture-meters/wood-info/acceptable-moisture-levels-wood/#:~:text=Based%20on%20common%20guidelines%20or,Construction%3A%209%2D14%25</t>
  </si>
  <si>
    <t>https://www.wagnermeters.com/moisture-meters/wood-info/acceptable-moisture-levels-wood/#:~:text=Based%20on%20common%20guidelines%20or,Construction%3A%209%2D14%26</t>
  </si>
  <si>
    <t>https://www.wagnermeters.com/moisture-meters/wood-info/acceptable-moisture-levels-wood/#:~:text=Based%20on%20common%20guidelines%20or,Construction%3A%209%2D14%27</t>
  </si>
  <si>
    <t>https://www.wagnermeters.com/moisture-meters/wood-info/acceptable-moisture-levels-wood/#:~:text=Based%20on%20common%20guidelines%20or,Construction%3A%209%2D14%28</t>
  </si>
  <si>
    <t>https://www.wagnermeters.com/moisture-meters/wood-info/acceptable-moisture-levels-wood/#:~:text=Based%20on%20common%20guidelines%20or,Construction%3A%209%2D14%29</t>
  </si>
  <si>
    <t xml:space="preserve">low value MC </t>
  </si>
  <si>
    <t>https://www.wagnermeters.com/moisture-meters/wood-info/acceptable-moisture-levels-wood/#:~:text=Based%20on%20common%20guidelines%20or,Construction%3A%209%2D14%55</t>
  </si>
  <si>
    <t>https://woodenwindows.com/windowbuilder.html?window=db613&amp;gclid=Cj0KCQjwn9CgBhDjARIsAD15h0AVIwLcv2y3cwoIirfIC3X3cclHP3PNupBAf2Aw9HRWkpmnnPPW77caAscZEALw_wcB</t>
  </si>
  <si>
    <t>https://absupply.net/pdf/KV_Door-Weight-Table.pdf</t>
  </si>
  <si>
    <t>EPD Multi-layer parquet flooring Unilin bvba, division Flooring</t>
  </si>
  <si>
    <t>https://www.wooduchoose.com/moisture-in-wood/</t>
  </si>
  <si>
    <t>https://www.wagnermeters.com/moisture-meters/wood-info/acceptable-moisture-levels-wood/#:~:text=Based%20on%20common%20guidelines%20or,Construction%3A%209%2D14%56</t>
  </si>
  <si>
    <t>https://www.wagnermeters.com/moisture-meters/wood-info/acceptable-moisture-levels-wood/#:~:text=Based%20on%20common%20guidelines%20or,Construction%3A%209%2D14%57</t>
  </si>
  <si>
    <t>https://www.wagnermeters.com/moisture-meters/wood-info/acceptable-moisture-levels-wood/#:~:text=Based%20on%20common%20guidelines%20or,Construction%3A%209%2D14%58</t>
  </si>
  <si>
    <t>https://www.wagnermeters.com/moisture-meters/wood-info/acceptable-moisture-levels-wood/#:~:text=Based%20on%20common%20guidelines%20or,Construction%3A%209%2D14%59</t>
  </si>
  <si>
    <t>https://www.wagnermeters.com/moisture-meters/wood-info/acceptable-moisture-levels-wood/#:~:text=Based%20on%20common%20guidelines%20or,Construction%3A%209%2D14%60</t>
  </si>
  <si>
    <t>https://www.wagnermeters.com/moisture-meters/wood-info/acceptable-moisture-levels-wood/#:~:text=Based%20on%20common%20guidelines%20or,Construction%3A%209%2D14%61</t>
  </si>
  <si>
    <t>https://www.wagnermeters.com/moisture-meters/wood-info/acceptable-moisture-levels-wood/#:~:text=Based%20on%20common%20guidelines%20or,Construction%3A%209%2D14%62</t>
  </si>
  <si>
    <t>https://www.wagnermeters.com/moisture-meters/wood-info/acceptable-moisture-levels-wood/#:~:text=Based%20on%20common%20guidelines%20or,Construction%3A%209%2D14%63</t>
  </si>
  <si>
    <t>WoodPelletsManufacturingByProducts</t>
  </si>
  <si>
    <t>FormworkScaffolding</t>
  </si>
  <si>
    <t>https://assets.publishing.service.gov.uk/government/uploads/system/uploads/attachment_data/file/725085/Floor_Space_in_English_Homes_main_report.pdf</t>
  </si>
  <si>
    <t>Ai reference</t>
  </si>
  <si>
    <t>kilograms(green)</t>
  </si>
  <si>
    <t>Average green MC</t>
  </si>
  <si>
    <t>See NewBuilds tab</t>
  </si>
  <si>
    <t xml:space="preserve">Sum of process inputs to WoodPelletsManufacturing </t>
  </si>
  <si>
    <t>Comtrade 2018</t>
  </si>
  <si>
    <t>Converted observations</t>
  </si>
  <si>
    <t>New flat pallets and pallet collars of wood</t>
  </si>
  <si>
    <t>Box pallets and load boards of wood EXCLUDING: - flat pallets</t>
  </si>
  <si>
    <t>Cable-drums of wood</t>
  </si>
  <si>
    <t>Comtarde 2019</t>
  </si>
  <si>
    <t>% of sawnwood production</t>
  </si>
  <si>
    <t>% of sawmills by-products output</t>
  </si>
  <si>
    <t>WBPFibresByProducts</t>
  </si>
  <si>
    <t>WBPFibresRecycledWoodFibre</t>
  </si>
  <si>
    <t>Microsoft Word - Investigation into UK Roundwood Imports and Exports 2012 Final Report (forestresearch.gov.uk)</t>
  </si>
  <si>
    <t>Reference for uncertainty</t>
  </si>
  <si>
    <t>air dried</t>
  </si>
  <si>
    <t xml:space="preserve">Refurbished flat pallets and pallet collars of wood </t>
  </si>
  <si>
    <t>http://ukfires.org/probs/data/UK-wood/Observation-100</t>
  </si>
  <si>
    <t>unit</t>
  </si>
  <si>
    <t>kg/item</t>
  </si>
  <si>
    <t>kg/m2</t>
  </si>
  <si>
    <t>% MC</t>
  </si>
  <si>
    <r>
      <t>α</t>
    </r>
    <r>
      <rPr>
        <b/>
        <sz val="8"/>
        <color theme="3"/>
        <rFont val="Calibri"/>
        <family val="2"/>
      </rPr>
      <t>i</t>
    </r>
    <r>
      <rPr>
        <b/>
        <sz val="11"/>
        <color theme="3"/>
        <rFont val="Calibri"/>
        <family val="2"/>
      </rPr>
      <t xml:space="preserve"> (Eq.2)</t>
    </r>
  </si>
  <si>
    <r>
      <t>A</t>
    </r>
    <r>
      <rPr>
        <b/>
        <sz val="8"/>
        <color theme="3"/>
        <rFont val="Calibri"/>
        <family val="2"/>
        <scheme val="minor"/>
      </rPr>
      <t>i</t>
    </r>
    <r>
      <rPr>
        <b/>
        <sz val="11"/>
        <color theme="3"/>
        <rFont val="Calibri"/>
        <family val="2"/>
        <scheme val="minor"/>
      </rPr>
      <t xml:space="preserve"> (Eq.2)</t>
    </r>
  </si>
  <si>
    <t>D (Eq.2)</t>
  </si>
  <si>
    <t>Max kg per item</t>
  </si>
  <si>
    <t>Min kg per item</t>
  </si>
  <si>
    <t>kg of flow (Max)</t>
  </si>
  <si>
    <t>kg of flow (Min)</t>
  </si>
  <si>
    <t>Comtarde 2020</t>
  </si>
  <si>
    <t>Table 3.4 and Prodcom 2019</t>
  </si>
  <si>
    <t>Railway or tramway sleepers</t>
  </si>
  <si>
    <t>http://ukfires.org/probs/data/UK-wood/Observation-101</t>
  </si>
  <si>
    <t>English Housing Survey</t>
  </si>
  <si>
    <t>OtherWoodContainers</t>
  </si>
  <si>
    <t>Cases, Boxes, crates, drums and similar packings of wood EXCLUDING: - cable drums</t>
  </si>
  <si>
    <t>Packing cases, Boxes, crates, drums and similar packings, of wood; cable-drums of wood; pallets, box pallets and other load boards, of wood; pallet collars of wood</t>
  </si>
  <si>
    <t>Wood; cases, Boxes, crates, drums, similar packings and cable-drums</t>
  </si>
  <si>
    <t>OtherEnergyFeedstocks</t>
  </si>
  <si>
    <t xml:space="preserve">Sum of process inputs to OtherEnergyFeedstocksProduction </t>
  </si>
  <si>
    <t>OtherEnergyFeedstocksProduction</t>
  </si>
  <si>
    <t>OtherEnergyFeedstocksSoftwoodRoundwood</t>
  </si>
  <si>
    <t>OtherEnergyFeedstocksHardwoodRoundwood</t>
  </si>
  <si>
    <t>OtherEnergyFeedstocksPostConsumerWood</t>
  </si>
  <si>
    <t>http://ukfires.org/probs/data/UK-wood/Observation-102</t>
  </si>
  <si>
    <t>NewBuilds</t>
  </si>
  <si>
    <t>WoodenBedroomFurniture</t>
  </si>
  <si>
    <t>http://ukfires.org/probs/data/UK-wood/Observation-103</t>
  </si>
  <si>
    <t>WoodenOutbuildings</t>
  </si>
  <si>
    <t>http://ukfires.org/probs/data/UK-wood/Observation-104</t>
  </si>
  <si>
    <t>WoodenKitchenFurniture</t>
  </si>
  <si>
    <t>http://ukfires.org/probs/data/UK-wood/Observation-105</t>
  </si>
  <si>
    <t>http://ukfires.org/probs/data/UK-wood/Observation-106</t>
  </si>
  <si>
    <t>http://ukfires.org/probs/data/UK-wood/Observation-107</t>
  </si>
  <si>
    <t>http://ukfires.org/probs/data/UK-wood/Observation-108</t>
  </si>
  <si>
    <t>WoodenOfficeFurniture</t>
  </si>
  <si>
    <t>WoodenOtherFurniture</t>
  </si>
  <si>
    <t>WoodenSeats</t>
  </si>
  <si>
    <t>http://ukfires.org/probs/data/UK-wood/Observation-109</t>
  </si>
  <si>
    <t>http://ukfires.org/probs/data/UK-wood/Observation-110</t>
  </si>
  <si>
    <t>http://ukfires.org/probs/data/UK-wood/Observation-111</t>
  </si>
  <si>
    <t>http://ukfires.org/probs/data/UK-wood/Observation-112</t>
  </si>
  <si>
    <t>WoodenKitchenFurnitureManufacturing</t>
  </si>
  <si>
    <t>Wood; coniferous (including unassembled strips and friezes for parquet flooring), continuously shaped along any edges, ends or faces, whether or not planed, sanded or end-jointed</t>
  </si>
  <si>
    <t>Wood; bamboo (including unassembled strips and friezes for parquet flooring), continuously shaped along any edges, ends or faces, whether or not planed, sanded or end-jointed</t>
  </si>
  <si>
    <t>Wood; tropical (including unassembled strips and friezes for parquet flooring), continuously shaped along any edges, ends or faces, whether or not planed, sanded or end-jointed</t>
  </si>
  <si>
    <t>Wood; non-coniferous, other than bamboo or tropical wood, (including unassembled strips and friezes for parquet flooring), continuously shaped along any edges, ends or faces, whether or not planed, sanded or end-jointed</t>
  </si>
  <si>
    <t xml:space="preserve">Import </t>
  </si>
  <si>
    <t>dollars</t>
  </si>
  <si>
    <t>Builders joinery and carpentry, of glue laminated timber (excl. posts and beams)</t>
  </si>
  <si>
    <t>Pallets</t>
  </si>
  <si>
    <t>http://ukfires.org/probs/data/UK-wood/Observation-81</t>
  </si>
  <si>
    <t>RefurbishedPallets</t>
  </si>
  <si>
    <t>http://ukfires.org/probs/data/UK-wood/Observation-82</t>
  </si>
  <si>
    <t>RoundwoodToFencingAndOutdoorManufacturing</t>
  </si>
  <si>
    <t>WBPFibresSoftwoodRoundwood</t>
  </si>
  <si>
    <t>SawnwoodToFencingAndOutdoorManufacturing</t>
  </si>
  <si>
    <t>HousesToNewBuilds</t>
  </si>
  <si>
    <t>http://ukfires.org/probs/data/UK-wood/Observation-84</t>
  </si>
  <si>
    <t>http://ukfires.org/probs/data/UK-wood/Observation-85</t>
  </si>
  <si>
    <t>http://ukfires.org/probs/data/UK-wood/Observation-88</t>
  </si>
  <si>
    <t>http://ukfires.org/probs/data/UK-wood/Observation-99</t>
  </si>
  <si>
    <t>From a sawmills survey with a weighted response rate (taking account of the total sawnwood production of each mill)
of 86%.</t>
  </si>
  <si>
    <t xml:space="preserve">Poor data quality on the trade of roundwood </t>
  </si>
  <si>
    <t>Accurate data</t>
  </si>
  <si>
    <t>Only large mills producing at least 25 thousand m3 sawnwood included (softwood and hardwood)</t>
  </si>
  <si>
    <t>Estimated data based on surveys sent out to large mills by Forest Research UK</t>
  </si>
  <si>
    <t>Estimate based on sum of process inputs</t>
  </si>
  <si>
    <t xml:space="preserve">Reason behind uncertainty </t>
  </si>
  <si>
    <t xml:space="preserve">Reliable source but methodology of data collection not fully described </t>
  </si>
  <si>
    <t>May also include wood from other sources (e.g. energy crops, arboriculture arisings and recycled wood).</t>
  </si>
  <si>
    <t>May also include wood delivered to power generation plants and not only to wood pellets manufacturers</t>
  </si>
  <si>
    <t>Figures from 2014 relate to capacity, rather than consumption.</t>
  </si>
  <si>
    <t>Data from 2012</t>
  </si>
  <si>
    <t>Data for 2018</t>
  </si>
  <si>
    <t>May exclude wood that ended up in furniture but was not recognised as furniture at the point of reporting</t>
  </si>
  <si>
    <t>Imports are usually recorded with more accuracy than exports because imports generally generate tariff revenues while exports don't.</t>
  </si>
  <si>
    <t>Accuate data</t>
  </si>
  <si>
    <t>Incomplete sets of wooden boards (intended to be made into packing cases, crates and other containers) are classified under other objects.</t>
  </si>
  <si>
    <t>Incomplte sets of wooden doors can be excluded (intended to be made into doors)</t>
  </si>
  <si>
    <t>May exclude wood that is intended to be made into furniture but was not recognised as furniture at the point of reporting</t>
  </si>
  <si>
    <t>Accuarte data</t>
  </si>
  <si>
    <t>May include incomplete sets of wooden boards that are classified under other wood containers.</t>
  </si>
  <si>
    <t>0% MC</t>
  </si>
  <si>
    <t xml:space="preserve">Basic density </t>
  </si>
  <si>
    <t>to 0% MC</t>
  </si>
  <si>
    <t>Wooden furniture of a type used in offices INCLUDING: - fixed pedestals, moveable pedestals - desks and tables - cupboards, cabinets and bookcases - shelves, racking, screens and panels EXCLUDING: - seats</t>
  </si>
  <si>
    <t>Wooden furniture for shops EXCLUDING: - seats</t>
  </si>
  <si>
    <t>Non-upholstered seats with wooden frames EXCLUDING: - swivel seats with variable height adjustment</t>
  </si>
  <si>
    <t>Wooden kitchen furniture INCLUDING: - wooden units for fitted kitchens EXCLUDING: - seats</t>
  </si>
  <si>
    <t>Wooden furniture for the bedroom INCLUDING: - headboards EXCLUDING: - builders' fittings for cupboards to be built into walls - mattress supports - lamps and lighting fittings - floor standing mirrors - seats</t>
  </si>
  <si>
    <t>Wooden furniture for the dining-room and living-room EXCLUDING: - floor standing mirrors - seats</t>
  </si>
  <si>
    <t>Wooden furniture for domestic use and for banks, bars, churches, cinemas, hotels, laboratories, libraries, museums, pubs, restaurants, schools, workshops EXCLUDING: - shop, medical, surgical, dental or veterinary furniture - for bedroom, dining-room, living-room or kitchen - seats</t>
  </si>
  <si>
    <t>44092910 + 44092991 + 44092999</t>
  </si>
  <si>
    <t>Wood; continously shaped, tongued, grooved and the like INCLUDING: - strips and friezes for parquet flooring EXCLUDING: - assembled strips and friezes for parquet flooring - coniferous wood - bamboo</t>
  </si>
  <si>
    <t>Softwood continuously shaped INCLUDING: - tongued, grooved, rebated, chamfered, V-jointed, beaded, moulded, rounded - strips and friezes for parquet flooring, not assembled</t>
  </si>
  <si>
    <t>Assembled parquet panels of wood EXCLUDING: - those for mosaic floors</t>
  </si>
  <si>
    <t>Assembled parquet panels of wood for mosaic floors</t>
  </si>
  <si>
    <t>Windows, French-windows and their frames, of wood</t>
  </si>
  <si>
    <t>Doors, their frames and thresholds, of wood</t>
  </si>
  <si>
    <t>Shuttering of wood for concrete constructional work; shingles and shakes of wood</t>
  </si>
  <si>
    <t>Builders' joinery and carpentry of wood INCLUDING: - stairs EXCLUDING: - parquet panels - shuttering for concrete constructional work - shingles and shakes - windows, french windows and their frames - doors and their frames and thresholds</t>
  </si>
  <si>
    <t>YearOf2021</t>
  </si>
  <si>
    <t>YearOf2022</t>
  </si>
  <si>
    <t>94060011 + 94060020</t>
  </si>
  <si>
    <t xml:space="preserve"> 94060011 + 94060020</t>
  </si>
  <si>
    <t>Wooden prefabricated buildings, such as sheds, garages, greenhouses, conservatories, holiday homes, mobile homes, static caravans INCLUDING: - complete buildings assembled ready for use - complete buildings unassembled - incomplete but having essential character of EXCLUDING: - separately presented parts</t>
  </si>
  <si>
    <t>CF</t>
  </si>
  <si>
    <t>swe</t>
  </si>
  <si>
    <t>Calculated</t>
  </si>
  <si>
    <t>Calculated value</t>
  </si>
  <si>
    <t>Converted observations old</t>
  </si>
  <si>
    <t>16291491  (CN 442110 + 44219091 + 44219097 + 66039010) - Articles of wood n.e.c. INCLUDING: - handles for cutlery; hutches, hen-coops, beehives, kennels and cages; joiners' benches, ladders, and trestles; trellises and fencing panels; oars and paddles EXCLUDING: - mirror frames; packing cases,  casks, pallets and pallet collars; tools and handles; brushes; windows, doors and their frames; tableware, kitchenware; coffins</t>
  </si>
  <si>
    <t>OtherEnergyFeedstocksByProducts</t>
  </si>
  <si>
    <t>FencingPosts</t>
  </si>
  <si>
    <t>FencingRailsAndBoards</t>
  </si>
  <si>
    <t>OtherEngineeredWoodProducts</t>
  </si>
  <si>
    <t>Mass</t>
  </si>
  <si>
    <t>WoodWoolAndFlour</t>
  </si>
  <si>
    <t>WoodCharcoal</t>
  </si>
  <si>
    <t>http://ukfires.org/probs/data/UK-wood/Observation-133</t>
  </si>
  <si>
    <t>http://ukfires.org/probs/data/UK-wood/Observation-134</t>
  </si>
  <si>
    <t>http://ukfires.org/probs/data/UK-wood/Observation-140</t>
  </si>
  <si>
    <t>http://ukfires.org/probs/data/UK-wood/Observation-141</t>
  </si>
  <si>
    <t>http://ukfires.org/probs/data/UK-wood/Observation-142</t>
  </si>
  <si>
    <t>http://ukfires.org/probs/data/UK-wood/Observation-143</t>
  </si>
  <si>
    <t>http://ukfires.org/probs/data/UK-wood/Observation-144</t>
  </si>
  <si>
    <t>http://ukfires.org/probs/data/UK-wood/Observation-145</t>
  </si>
  <si>
    <t>http://ukfires.org/probs/data/UK-wood/Observation-146</t>
  </si>
  <si>
    <t>http://ukfires.org/probs/data/UK-wood/Observation-147</t>
  </si>
  <si>
    <t>http://ukfires.org/probs/data/UK-wood/Observation-148</t>
  </si>
  <si>
    <t>http://ukfires.org/probs/data/UK-wood/Observation-149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</si>
</sst>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General_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indexed="8"/>
      <name val="Arial, Helvetica, sans-serif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1"/>
      <color theme="3"/>
      <name val="Calibri"/>
      <family val="2"/>
    </font>
    <font>
      <b/>
      <sz val="8"/>
      <color theme="3"/>
      <name val="Calibri"/>
      <family val="2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9.3000000000000007"/>
      <color rgb="FF333333"/>
      <name val="Arial"/>
      <family val="2"/>
    </font>
    <font>
      <sz val="11"/>
      <color rgb="FF212529"/>
      <name val="Arial"/>
      <family val="2"/>
    </font>
    <font>
      <sz val="11"/>
      <color rgb="FF212529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name val="Helv"/>
    </font>
    <font>
      <sz val="11"/>
      <color rgb="FF000000"/>
      <name val="Calibri"/>
      <family val="2"/>
      <scheme val="minor"/>
    </font>
    <font>
      <sz val="11"/>
      <color rgb="FF0B0C0C"/>
      <name val="Arial"/>
      <family val="2"/>
    </font>
    <font>
      <sz val="11"/>
      <color rgb="FF098658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medium">
        <color indexed="64"/>
      </bottom>
      <diagonal/>
    </border>
  </borders>
  <cellStyleXfs count="352">
    <xf numFmtId="0" fontId="0" fillId="0" borderId="0"/>
    <xf numFmtId="0" fontId="2" fillId="0" borderId="1" applyNumberFormat="0" applyFill="0" applyAlignment="0" applyProtection="0"/>
    <xf numFmtId="0" fontId="1" fillId="0" borderId="0"/>
    <xf numFmtId="0" fontId="1" fillId="0" borderId="0"/>
    <xf numFmtId="0" fontId="5" fillId="0" borderId="2" applyNumberFormat="0" applyFill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6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22" fillId="0" borderId="0" applyNumberFormat="0" applyFill="0" applyBorder="0" applyAlignment="0" applyProtection="0"/>
    <xf numFmtId="0" fontId="7" fillId="0" borderId="12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44" fontId="1" fillId="0" borderId="0" applyFont="0" applyFill="0" applyBorder="0" applyAlignment="0" applyProtection="0"/>
    <xf numFmtId="0" fontId="23" fillId="25" borderId="0" applyNumberFormat="0" applyBorder="0" applyAlignment="0" applyProtection="0"/>
    <xf numFmtId="43" fontId="1" fillId="0" borderId="0" applyFont="0" applyFill="0" applyBorder="0" applyAlignment="0" applyProtection="0"/>
    <xf numFmtId="0" fontId="23" fillId="17" borderId="0" applyNumberFormat="0" applyBorder="0" applyAlignment="0" applyProtection="0"/>
    <xf numFmtId="43" fontId="1" fillId="0" borderId="0" applyFont="0" applyFill="0" applyBorder="0" applyAlignment="0" applyProtection="0"/>
    <xf numFmtId="0" fontId="23" fillId="33" borderId="0" applyNumberFormat="0" applyBorder="0" applyAlignment="0" applyProtection="0"/>
    <xf numFmtId="43" fontId="1" fillId="0" borderId="0" applyFont="0" applyFill="0" applyBorder="0" applyAlignment="0" applyProtection="0"/>
    <xf numFmtId="0" fontId="23" fillId="13" borderId="0" applyNumberFormat="0" applyBorder="0" applyAlignment="0" applyProtection="0"/>
    <xf numFmtId="44" fontId="1" fillId="0" borderId="0" applyFont="0" applyFill="0" applyBorder="0" applyAlignment="0" applyProtection="0"/>
    <xf numFmtId="0" fontId="23" fillId="29" borderId="0" applyNumberFormat="0" applyBorder="0" applyAlignment="0" applyProtection="0"/>
    <xf numFmtId="43" fontId="1" fillId="0" borderId="0" applyFont="0" applyFill="0" applyBorder="0" applyAlignment="0" applyProtection="0"/>
    <xf numFmtId="0" fontId="23" fillId="21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6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28" fillId="0" borderId="0"/>
    <xf numFmtId="0" fontId="1" fillId="9" borderId="11" applyNumberFormat="0" applyFont="0" applyAlignment="0" applyProtection="0"/>
    <xf numFmtId="0" fontId="3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6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3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29" fillId="0" borderId="0"/>
    <xf numFmtId="165" fontId="38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1" fontId="0" fillId="0" borderId="0" xfId="0" applyNumberFormat="1"/>
    <xf numFmtId="0" fontId="0" fillId="0" borderId="0" xfId="0" applyAlignment="1">
      <alignment vertical="top"/>
    </xf>
    <xf numFmtId="3" fontId="0" fillId="0" borderId="0" xfId="0" applyNumberFormat="1"/>
    <xf numFmtId="0" fontId="6" fillId="0" borderId="0" xfId="0" applyFont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0" borderId="0" xfId="0" applyFont="1"/>
    <xf numFmtId="0" fontId="5" fillId="0" borderId="2" xfId="4"/>
    <xf numFmtId="3" fontId="0" fillId="0" borderId="0" xfId="0" applyNumberFormat="1" applyAlignment="1">
      <alignment horizontal="right"/>
    </xf>
    <xf numFmtId="0" fontId="0" fillId="0" borderId="0" xfId="0" applyFill="1"/>
    <xf numFmtId="0" fontId="9" fillId="0" borderId="2" xfId="4" applyFont="1"/>
    <xf numFmtId="0" fontId="11" fillId="0" borderId="0" xfId="6"/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  <xf numFmtId="1" fontId="0" fillId="0" borderId="5" xfId="0" applyNumberFormat="1" applyBorder="1"/>
    <xf numFmtId="0" fontId="0" fillId="0" borderId="0" xfId="0"/>
    <xf numFmtId="0" fontId="0" fillId="0" borderId="0" xfId="0"/>
    <xf numFmtId="2" fontId="11" fillId="0" borderId="0" xfId="6" applyNumberFormat="1"/>
    <xf numFmtId="1" fontId="0" fillId="0" borderId="0" xfId="0" applyNumberFormat="1" applyBorder="1"/>
    <xf numFmtId="0" fontId="0" fillId="0" borderId="0" xfId="0" applyBorder="1"/>
    <xf numFmtId="0" fontId="5" fillId="0" borderId="2" xfId="4" applyFill="1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0" fontId="5" fillId="0" borderId="0" xfId="4" applyFill="1" applyBorder="1"/>
    <xf numFmtId="0" fontId="0" fillId="0" borderId="0" xfId="0"/>
    <xf numFmtId="0" fontId="0" fillId="0" borderId="0" xfId="0" applyNumberFormat="1"/>
    <xf numFmtId="0" fontId="5" fillId="0" borderId="2" xfId="4" applyNumberFormat="1" applyFill="1"/>
    <xf numFmtId="0" fontId="0" fillId="0" borderId="0" xfId="0"/>
    <xf numFmtId="0" fontId="0" fillId="0" borderId="0" xfId="0"/>
    <xf numFmtId="1" fontId="0" fillId="0" borderId="0" xfId="0" applyNumberFormat="1" applyFont="1"/>
    <xf numFmtId="0" fontId="0" fillId="0" borderId="0" xfId="0"/>
    <xf numFmtId="0" fontId="0" fillId="0" borderId="0" xfId="0"/>
    <xf numFmtId="0" fontId="5" fillId="0" borderId="2" xfId="4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3" fillId="2" borderId="16" xfId="0" applyNumberFormat="1" applyFont="1" applyFill="1" applyBorder="1" applyAlignment="1">
      <alignment horizontal="right" wrapText="1"/>
    </xf>
    <xf numFmtId="0" fontId="0" fillId="0" borderId="16" xfId="0" applyNumberFormat="1" applyBorder="1" applyAlignment="1">
      <alignment horizontal="right"/>
    </xf>
    <xf numFmtId="0" fontId="24" fillId="0" borderId="0" xfId="0" applyNumberFormat="1" applyFont="1"/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0" fontId="0" fillId="0" borderId="0" xfId="0"/>
    <xf numFmtId="0" fontId="1" fillId="0" borderId="0" xfId="0" applyFont="1"/>
    <xf numFmtId="0" fontId="1" fillId="0" borderId="0" xfId="6" applyFont="1"/>
    <xf numFmtId="1" fontId="7" fillId="0" borderId="0" xfId="0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2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39" fillId="0" borderId="0" xfId="0" applyFont="1"/>
    <xf numFmtId="0" fontId="40" fillId="0" borderId="0" xfId="0" applyFont="1"/>
    <xf numFmtId="0" fontId="2" fillId="0" borderId="0" xfId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0" fontId="27" fillId="0" borderId="0" xfId="0" applyFont="1" applyFill="1" applyBorder="1"/>
    <xf numFmtId="3" fontId="3" fillId="0" borderId="0" xfId="154" applyNumberFormat="1" applyFont="1" applyFill="1" applyBorder="1" applyAlignment="1">
      <alignment horizontal="right" wrapText="1"/>
    </xf>
    <xf numFmtId="0" fontId="11" fillId="0" borderId="0" xfId="6" applyFill="1" applyBorder="1"/>
    <xf numFmtId="0" fontId="27" fillId="0" borderId="0" xfId="0" applyFont="1" applyFill="1" applyBorder="1" applyAlignment="1">
      <alignment horizontal="right" vertical="top" wrapText="1"/>
    </xf>
    <xf numFmtId="0" fontId="5" fillId="0" borderId="0" xfId="4" applyFont="1" applyFill="1" applyBorder="1"/>
    <xf numFmtId="0" fontId="5" fillId="0" borderId="18" xfId="4" applyFill="1" applyBorder="1"/>
    <xf numFmtId="0" fontId="0" fillId="0" borderId="0" xfId="0"/>
    <xf numFmtId="0" fontId="0" fillId="0" borderId="0" xfId="0"/>
    <xf numFmtId="0" fontId="0" fillId="0" borderId="0" xfId="0"/>
    <xf numFmtId="0" fontId="41" fillId="0" borderId="0" xfId="0" applyFont="1" applyAlignment="1">
      <alignment vertical="center"/>
    </xf>
    <xf numFmtId="0" fontId="25" fillId="34" borderId="0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2" xfId="4" applyFill="1" applyAlignment="1">
      <alignment horizontal="center"/>
    </xf>
    <xf numFmtId="0" fontId="0" fillId="0" borderId="0" xfId="0"/>
  </cellXfs>
  <cellStyles count="352">
    <cellStyle name="20% - Accent1" xfId="23" builtinId="30" customBuiltin="1"/>
    <cellStyle name="20% - Accent1 2" xfId="84" xr:uid="{B7DC67DD-1C6D-4959-8643-BE4E974C2155}"/>
    <cellStyle name="20% - Accent1 2 2" xfId="229" xr:uid="{7A812F42-CB84-476A-B235-C139D5D7A10D}"/>
    <cellStyle name="20% - Accent1 3" xfId="111" xr:uid="{6C244ECF-02A3-4AAA-97A1-88C7BA988A78}"/>
    <cellStyle name="20% - Accent1 3 2" xfId="256" xr:uid="{EA0BA29C-A9CB-438E-B08C-C0D619274A51}"/>
    <cellStyle name="20% - Accent1 4" xfId="142" xr:uid="{A30C740C-D3F4-4205-A777-927AD0C98A5A}"/>
    <cellStyle name="20% - Accent1 4 2" xfId="287" xr:uid="{931A9447-3A01-4F00-8644-D239DDA2990E}"/>
    <cellStyle name="20% - Accent1 5" xfId="202" xr:uid="{4E6F8A5A-56E0-412D-ACF0-CE535DAC5D47}"/>
    <cellStyle name="20% - Accent2" xfId="27" builtinId="34" customBuiltin="1"/>
    <cellStyle name="20% - Accent2 2" xfId="85" xr:uid="{927E9CD2-EA56-4E9B-99BF-3D39804A4737}"/>
    <cellStyle name="20% - Accent2 2 2" xfId="230" xr:uid="{A8C2E950-F3CD-4BBB-8BC3-23B06D42418C}"/>
    <cellStyle name="20% - Accent2 3" xfId="112" xr:uid="{17293882-789E-4613-87B2-B5BBA0FF3ACE}"/>
    <cellStyle name="20% - Accent2 3 2" xfId="257" xr:uid="{7AE885EB-A68A-43A9-A226-DEDF3A897702}"/>
    <cellStyle name="20% - Accent2 4" xfId="144" xr:uid="{68F673BE-2CBB-4153-9BC0-535E5F851CDA}"/>
    <cellStyle name="20% - Accent2 4 2" xfId="289" xr:uid="{FD66CE87-45FC-4385-A673-9BD3F7C2198B}"/>
    <cellStyle name="20% - Accent2 5" xfId="203" xr:uid="{3EC8AEB2-E182-4305-92B2-657EE8F348B4}"/>
    <cellStyle name="20% - Accent3" xfId="31" builtinId="38" customBuiltin="1"/>
    <cellStyle name="20% - Accent3 2" xfId="86" xr:uid="{2FF26FE1-2915-4D56-9664-7E301C7A157C}"/>
    <cellStyle name="20% - Accent3 2 2" xfId="231" xr:uid="{1435056A-113E-4674-A6F9-B05114774A49}"/>
    <cellStyle name="20% - Accent3 3" xfId="113" xr:uid="{190195FB-9358-4C2E-9F21-9484A9687423}"/>
    <cellStyle name="20% - Accent3 3 2" xfId="258" xr:uid="{03052B4A-E608-46C5-AD48-EE8E21AA2CDF}"/>
    <cellStyle name="20% - Accent3 4" xfId="146" xr:uid="{88A264C9-0418-437D-AC55-F2522F70D526}"/>
    <cellStyle name="20% - Accent3 4 2" xfId="291" xr:uid="{E350E847-0234-4265-8BEA-667ABE87647E}"/>
    <cellStyle name="20% - Accent3 5" xfId="204" xr:uid="{00513D25-D2D9-48B1-94AF-875944CBCCBA}"/>
    <cellStyle name="20% - Accent4" xfId="35" builtinId="42" customBuiltin="1"/>
    <cellStyle name="20% - Accent4 2" xfId="87" xr:uid="{B89DDD7D-632E-43E7-A6CB-A24631300309}"/>
    <cellStyle name="20% - Accent4 2 2" xfId="232" xr:uid="{98F0C9AF-BAEB-4687-B31D-F0DDF64D0748}"/>
    <cellStyle name="20% - Accent4 3" xfId="114" xr:uid="{A31282DD-EA48-4939-8E6E-462884F03887}"/>
    <cellStyle name="20% - Accent4 3 2" xfId="259" xr:uid="{05DFDD56-B427-4438-9C87-FA7409478241}"/>
    <cellStyle name="20% - Accent4 4" xfId="148" xr:uid="{AFD0F047-C834-4699-89CB-E855E8AE46B0}"/>
    <cellStyle name="20% - Accent4 4 2" xfId="293" xr:uid="{CF6A7B4E-F7BE-4A57-88F4-E554B0B69117}"/>
    <cellStyle name="20% - Accent4 5" xfId="205" xr:uid="{98F928F0-B227-42B0-A7D0-9429B24A6302}"/>
    <cellStyle name="20% - Accent5" xfId="39" builtinId="46" customBuiltin="1"/>
    <cellStyle name="20% - Accent5 2" xfId="88" xr:uid="{DBC36E7E-9F8C-467C-BBF9-D806090641AE}"/>
    <cellStyle name="20% - Accent5 2 2" xfId="233" xr:uid="{BAE751A9-3EA7-4DE2-9767-CF12FC9D7CC5}"/>
    <cellStyle name="20% - Accent5 3" xfId="115" xr:uid="{BE3D3133-7C2B-4931-8881-B74A5A4A5A04}"/>
    <cellStyle name="20% - Accent5 3 2" xfId="260" xr:uid="{DDD0EE3D-A54B-4EFF-A03E-7E0B3E1EF956}"/>
    <cellStyle name="20% - Accent5 4" xfId="150" xr:uid="{1BB42171-8861-490E-AF07-2292F5E05106}"/>
    <cellStyle name="20% - Accent5 4 2" xfId="295" xr:uid="{6C462345-CB59-4283-85BA-ABBB03C7E4A4}"/>
    <cellStyle name="20% - Accent5 5" xfId="206" xr:uid="{BF55B8EC-D2F5-4208-828B-913FEC6F1710}"/>
    <cellStyle name="20% - Accent6" xfId="43" builtinId="50" customBuiltin="1"/>
    <cellStyle name="20% - Accent6 2" xfId="89" xr:uid="{41F7FD79-0DF1-4745-9517-2590092B379D}"/>
    <cellStyle name="20% - Accent6 2 2" xfId="234" xr:uid="{41CECBB7-1C01-47A4-9277-107E6F07C41D}"/>
    <cellStyle name="20% - Accent6 3" xfId="116" xr:uid="{890213CD-ACC7-4642-8816-C57648C0D670}"/>
    <cellStyle name="20% - Accent6 3 2" xfId="261" xr:uid="{1E057E25-D760-4BE0-A526-67CB54409E39}"/>
    <cellStyle name="20% - Accent6 4" xfId="152" xr:uid="{09184045-6B93-4A73-8631-6E48A379EC28}"/>
    <cellStyle name="20% - Accent6 4 2" xfId="297" xr:uid="{8D09403F-EA8B-46F8-9987-13910D04610B}"/>
    <cellStyle name="20% - Accent6 5" xfId="207" xr:uid="{F4BDBFC4-9547-40C9-BFA8-BCEFBB393A84}"/>
    <cellStyle name="40% - Accent1" xfId="24" builtinId="31" customBuiltin="1"/>
    <cellStyle name="40% - Accent1 2" xfId="90" xr:uid="{B552B755-BEC3-4BCF-82EF-FA4F10E7170D}"/>
    <cellStyle name="40% - Accent1 2 2" xfId="235" xr:uid="{1DF89E29-70F2-4E61-B8CD-B80178735F46}"/>
    <cellStyle name="40% - Accent1 3" xfId="117" xr:uid="{98153DBC-3487-49C8-8F31-BC515709F542}"/>
    <cellStyle name="40% - Accent1 3 2" xfId="262" xr:uid="{E5ACDA4F-7853-4D11-8817-68B679AC623E}"/>
    <cellStyle name="40% - Accent1 4" xfId="143" xr:uid="{2DC77F31-23DE-4ECE-8BDB-BDDA119146AE}"/>
    <cellStyle name="40% - Accent1 4 2" xfId="288" xr:uid="{0AB58A3C-3DC6-4CD9-BE33-3ED0FD12FDDE}"/>
    <cellStyle name="40% - Accent1 5" xfId="208" xr:uid="{80F2FA8E-F893-42F0-8533-E006BC6DED17}"/>
    <cellStyle name="40% - Accent2" xfId="28" builtinId="35" customBuiltin="1"/>
    <cellStyle name="40% - Accent2 2" xfId="91" xr:uid="{D02B3BDF-0ABE-46CA-A560-1D72FF706024}"/>
    <cellStyle name="40% - Accent2 2 2" xfId="236" xr:uid="{088827E9-281C-437F-B447-FBE33AFFAF48}"/>
    <cellStyle name="40% - Accent2 3" xfId="118" xr:uid="{90809D20-89B2-4935-AE8F-29B5A640CAA8}"/>
    <cellStyle name="40% - Accent2 3 2" xfId="263" xr:uid="{2FD7AD16-553B-427D-A95F-23A93C72F1D2}"/>
    <cellStyle name="40% - Accent2 4" xfId="145" xr:uid="{8CC29342-18B4-48ED-BC5B-CAD8A514C262}"/>
    <cellStyle name="40% - Accent2 4 2" xfId="290" xr:uid="{4A307669-6DAC-4868-9914-1A2149EE8E87}"/>
    <cellStyle name="40% - Accent2 5" xfId="209" xr:uid="{A47BFC9A-3149-4967-A83C-E15188D2C5C4}"/>
    <cellStyle name="40% - Accent3" xfId="32" builtinId="39" customBuiltin="1"/>
    <cellStyle name="40% - Accent3 2" xfId="92" xr:uid="{04FD4BF0-41D1-4324-B0F8-EC2B270966AE}"/>
    <cellStyle name="40% - Accent3 2 2" xfId="237" xr:uid="{659C3C45-FC68-4F93-9527-F57D9A4C1492}"/>
    <cellStyle name="40% - Accent3 3" xfId="119" xr:uid="{1F451388-FC98-4C2C-A638-F2698786398E}"/>
    <cellStyle name="40% - Accent3 3 2" xfId="264" xr:uid="{97315292-1552-45FC-943D-F1D02A4E1D51}"/>
    <cellStyle name="40% - Accent3 4" xfId="147" xr:uid="{6442F944-FB21-49CF-9EFC-DF044D943108}"/>
    <cellStyle name="40% - Accent3 4 2" xfId="292" xr:uid="{846EB1ED-F16B-4F29-A067-56B46C146FDC}"/>
    <cellStyle name="40% - Accent3 5" xfId="210" xr:uid="{DF9AA950-CAB8-489B-93B7-8EB69680435A}"/>
    <cellStyle name="40% - Accent4" xfId="36" builtinId="43" customBuiltin="1"/>
    <cellStyle name="40% - Accent4 2" xfId="93" xr:uid="{10FDB522-B037-4E57-9D90-3D717F71BE46}"/>
    <cellStyle name="40% - Accent4 2 2" xfId="238" xr:uid="{3856FA6C-A7A9-40A1-B42D-F0A6D187BBDD}"/>
    <cellStyle name="40% - Accent4 3" xfId="120" xr:uid="{8745B6DF-C750-4CF8-9FEF-499F4915F5FD}"/>
    <cellStyle name="40% - Accent4 3 2" xfId="265" xr:uid="{ADABBB60-B1E5-4361-905B-457291067C0E}"/>
    <cellStyle name="40% - Accent4 4" xfId="149" xr:uid="{7D72F3EC-6AE7-4B08-8DD5-4BFC0AB3642C}"/>
    <cellStyle name="40% - Accent4 4 2" xfId="294" xr:uid="{60B7178F-A0B5-4E25-9FFD-5EEC9A10A232}"/>
    <cellStyle name="40% - Accent4 5" xfId="211" xr:uid="{C4573ECD-C288-4683-A72A-846DEDB7F9E6}"/>
    <cellStyle name="40% - Accent5" xfId="40" builtinId="47" customBuiltin="1"/>
    <cellStyle name="40% - Accent5 2" xfId="94" xr:uid="{F86035E3-9A1C-4784-AD45-CEF5AA8320D7}"/>
    <cellStyle name="40% - Accent5 2 2" xfId="239" xr:uid="{2AC33199-85CD-4B32-9603-53730C8B1E8D}"/>
    <cellStyle name="40% - Accent5 3" xfId="121" xr:uid="{49258A27-A49E-4DE1-8E3B-786F141A642C}"/>
    <cellStyle name="40% - Accent5 3 2" xfId="266" xr:uid="{C4C3BCDB-284B-4C25-A460-D0BE44B3C794}"/>
    <cellStyle name="40% - Accent5 4" xfId="151" xr:uid="{46A5284A-7C33-45DA-87A1-DD05BBBD929C}"/>
    <cellStyle name="40% - Accent5 4 2" xfId="296" xr:uid="{7D3D7745-F5A8-46FF-A9B4-6D571261E0FC}"/>
    <cellStyle name="40% - Accent5 5" xfId="212" xr:uid="{7394946C-E193-4482-A090-6401E3C4E2EF}"/>
    <cellStyle name="40% - Accent6" xfId="44" builtinId="51" customBuiltin="1"/>
    <cellStyle name="40% - Accent6 2" xfId="95" xr:uid="{FFED8CFF-F1CA-485F-A9AB-5A7E788F21B6}"/>
    <cellStyle name="40% - Accent6 2 2" xfId="240" xr:uid="{977502A3-7455-45D4-8B0A-4BD0826866E0}"/>
    <cellStyle name="40% - Accent6 3" xfId="122" xr:uid="{0E91B7F5-9629-419C-8211-4C78EDB03180}"/>
    <cellStyle name="40% - Accent6 3 2" xfId="267" xr:uid="{2060AF9B-DDDC-491B-A653-B37880E5A72F}"/>
    <cellStyle name="40% - Accent6 4" xfId="153" xr:uid="{3D97E382-0C77-4626-B848-C7481235A62B}"/>
    <cellStyle name="40% - Accent6 4 2" xfId="298" xr:uid="{2D96834C-E5C6-41E5-AE10-383D91281BD1}"/>
    <cellStyle name="40% - Accent6 5" xfId="213" xr:uid="{8B4F69BA-B10E-4304-8B7B-C4C3E9A207D3}"/>
    <cellStyle name="60% - Accent1" xfId="25" builtinId="32" customBuiltin="1"/>
    <cellStyle name="60% - Accent1 2" xfId="155" xr:uid="{C80FA751-DBEF-404D-BC86-24E865895B40}"/>
    <cellStyle name="60% - Accent1 3" xfId="55" xr:uid="{6CD06CB8-BA0B-47D4-BB2B-18AEBDB36059}"/>
    <cellStyle name="60% - Accent2" xfId="29" builtinId="36" customBuiltin="1"/>
    <cellStyle name="60% - Accent2 2" xfId="156" xr:uid="{03D6417A-06DD-42D1-BBD8-583665F203FC}"/>
    <cellStyle name="60% - Accent2 3" xfId="51" xr:uid="{75DFE2A6-6A61-469A-AECA-AF47E911E90B}"/>
    <cellStyle name="60% - Accent3" xfId="33" builtinId="40" customBuiltin="1"/>
    <cellStyle name="60% - Accent3 2" xfId="157" xr:uid="{232CFCF3-0693-476D-86CB-0988D77AACB7}"/>
    <cellStyle name="60% - Accent3 3" xfId="59" xr:uid="{0CA8F0CD-F977-46B7-8EC8-A6781D34B1BB}"/>
    <cellStyle name="60% - Accent4" xfId="37" builtinId="44" customBuiltin="1"/>
    <cellStyle name="60% - Accent4 2" xfId="158" xr:uid="{BD2AD458-BD9A-4FD3-B599-A3E7A8EA2212}"/>
    <cellStyle name="60% - Accent4 3" xfId="49" xr:uid="{3C9B6DE0-A325-4D79-B53B-A23CE28FEDBB}"/>
    <cellStyle name="60% - Accent5" xfId="41" builtinId="48" customBuiltin="1"/>
    <cellStyle name="60% - Accent5 2" xfId="159" xr:uid="{73392A61-834D-4470-87AB-8C69D2875056}"/>
    <cellStyle name="60% - Accent5 3" xfId="57" xr:uid="{83847081-5B80-41D9-9AD7-FC65247EC34F}"/>
    <cellStyle name="60% - Accent6" xfId="45" builtinId="52" customBuiltin="1"/>
    <cellStyle name="60% - Accent6 2" xfId="160" xr:uid="{61E69CDD-ABBD-4E8B-8EA2-365D6B3953B1}"/>
    <cellStyle name="60% - Accent6 3" xfId="53" xr:uid="{DB38AF55-2EC4-4D75-922B-8F22612AF03B}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46" xr:uid="{6CB5C1D2-DBAD-4062-910A-9F8682ADB00D}"/>
    <cellStyle name="Comma 2 10" xfId="5" xr:uid="{409C5121-3C5A-4E6C-B96E-A397CB064C0B}"/>
    <cellStyle name="Comma 2 10 2" xfId="344" xr:uid="{9E8F8588-735D-40D7-A256-E5EB91538BDE}"/>
    <cellStyle name="Comma 2 11" xfId="50" xr:uid="{73D45975-8F6D-4808-8717-C1DE525CF429}"/>
    <cellStyle name="Comma 2 2" xfId="58" xr:uid="{DC326367-4765-42EE-8EA8-9D7A7D3154F3}"/>
    <cellStyle name="Comma 2 2 2" xfId="98" xr:uid="{6828B653-ADAD-46A4-BBF9-BD5A8DF10016}"/>
    <cellStyle name="Comma 2 2 2 2" xfId="179" xr:uid="{1002B38A-CB80-42C8-90E1-A9D17B070016}"/>
    <cellStyle name="Comma 2 2 2 2 2" xfId="315" xr:uid="{242F59B6-3095-4DC9-8DC4-5B3DDE924F20}"/>
    <cellStyle name="Comma 2 2 2 3" xfId="243" xr:uid="{629A6334-C6A6-4444-9B26-6E64B5FD1EEE}"/>
    <cellStyle name="Comma 2 2 3" xfId="125" xr:uid="{E143843D-5456-4DD5-A119-1C71F863E030}"/>
    <cellStyle name="Comma 2 2 3 2" xfId="270" xr:uid="{2CC64F89-6859-4243-B5D6-F8F6F8895DF6}"/>
    <cellStyle name="Comma 2 2 4" xfId="163" xr:uid="{7820C407-51D0-4489-A8DE-6AA9CD69F3A8}"/>
    <cellStyle name="Comma 2 2 4 2" xfId="301" xr:uid="{8925225A-9585-4C12-A939-01D09C04E9E2}"/>
    <cellStyle name="Comma 2 2 5" xfId="216" xr:uid="{17D40454-3BBA-417A-88AA-3B27A86D5C0C}"/>
    <cellStyle name="Comma 2 2 6" xfId="340" xr:uid="{7563DD10-416D-4F15-B993-055AEEE71245}"/>
    <cellStyle name="Comma 2 3" xfId="97" xr:uid="{2C2BE87F-F990-46BF-A75E-5C57049A7241}"/>
    <cellStyle name="Comma 2 3 2" xfId="178" xr:uid="{E93E38C6-2757-4557-8DA9-4C6929B30283}"/>
    <cellStyle name="Comma 2 3 2 2" xfId="314" xr:uid="{43FBA121-42F1-4B3C-AF2C-C97FFF8CFC5F}"/>
    <cellStyle name="Comma 2 3 3" xfId="242" xr:uid="{30024D67-DAF2-4E2D-B5C1-85EEFF153C30}"/>
    <cellStyle name="Comma 2 4" xfId="124" xr:uid="{AE6CC78A-E116-4992-BFF9-42C1FE4A1654}"/>
    <cellStyle name="Comma 2 4 2" xfId="269" xr:uid="{3CCCD98E-820B-46E7-84B3-626B9AE5D971}"/>
    <cellStyle name="Comma 2 5" xfId="162" xr:uid="{6C34D1F6-3114-4A3C-BBD7-094FB5D44C44}"/>
    <cellStyle name="Comma 2 5 2" xfId="300" xr:uid="{BEAA2227-93F3-4CF1-AFC4-2AC53C556CBD}"/>
    <cellStyle name="Comma 2 6" xfId="185" xr:uid="{CD748767-6390-4169-B616-01338E4F6012}"/>
    <cellStyle name="Comma 2 6 2" xfId="321" xr:uid="{A395D536-0949-47A3-A5C0-89550BDE346A}"/>
    <cellStyle name="Comma 2 6 3" xfId="332" xr:uid="{990834C9-953D-4118-BE07-5034A4EB4240}"/>
    <cellStyle name="Comma 2 6 4" xfId="346" xr:uid="{168D556B-5DFD-4F71-BFDD-703F115A8BC9}"/>
    <cellStyle name="Comma 2 7" xfId="193" xr:uid="{88DE8E61-B20C-41FF-BCB4-0D8A5ED3B1C2}"/>
    <cellStyle name="Comma 2 7 2" xfId="329" xr:uid="{5E8E1AC8-83BC-427F-B9B5-EA875705EF4B}"/>
    <cellStyle name="Comma 2 7 3" xfId="336" xr:uid="{83BD391D-14AD-40B4-8C43-7B06048BD47F}"/>
    <cellStyle name="Comma 2 8" xfId="197" xr:uid="{F1A49449-5CE2-40B9-A39F-98B3E67F2F73}"/>
    <cellStyle name="Comma 2 9" xfId="215" xr:uid="{DB7146E5-0915-4745-97F3-E734CEBFA605}"/>
    <cellStyle name="Comma 3" xfId="54" xr:uid="{59EEB8CA-957B-4A1B-891F-1B1E20BE1DB7}"/>
    <cellStyle name="Comma 3 2" xfId="99" xr:uid="{9E72A086-657D-4F4F-9A50-78D0C9C0E094}"/>
    <cellStyle name="Comma 3 2 2" xfId="180" xr:uid="{54322A3A-A160-4B99-8673-A443B5F5875B}"/>
    <cellStyle name="Comma 3 2 2 2" xfId="316" xr:uid="{18A6D6E6-A1FF-482A-8F72-1BAB7D22CB6B}"/>
    <cellStyle name="Comma 3 2 3" xfId="244" xr:uid="{A5B767D5-41FD-4F37-8C1F-A859047CB56E}"/>
    <cellStyle name="Comma 3 3" xfId="126" xr:uid="{F65F75C5-33DB-4443-A9A3-E63CCE615CDE}"/>
    <cellStyle name="Comma 3 3 2" xfId="271" xr:uid="{C91560FB-7260-4139-B989-6F870D88FC86}"/>
    <cellStyle name="Comma 3 4" xfId="164" xr:uid="{F1DF8A74-9B7F-4384-909E-01C206DEB018}"/>
    <cellStyle name="Comma 3 4 2" xfId="302" xr:uid="{BDAC1C98-7EF1-49A3-A357-1AE700E043D4}"/>
    <cellStyle name="Comma 3 5" xfId="198" xr:uid="{8B7A1F90-4EDA-4710-A21A-C43EA3CB0227}"/>
    <cellStyle name="Comma 3 6" xfId="217" xr:uid="{77B67B31-358E-4B3A-8416-105C24421C36}"/>
    <cellStyle name="Comma 4" xfId="96" xr:uid="{B6541F1B-2F36-4BC9-9F0C-23FBCCA1ACAD}"/>
    <cellStyle name="Comma 4 2" xfId="161" xr:uid="{A96A4FA9-EFD2-429B-B30A-96B3467A249B}"/>
    <cellStyle name="Comma 4 2 2" xfId="299" xr:uid="{952C1BAF-CC9F-469F-9567-4682F9B2DE6F}"/>
    <cellStyle name="Comma 4 3" xfId="241" xr:uid="{C619A659-2000-4EDF-8368-6CC2174B068E}"/>
    <cellStyle name="Comma 5" xfId="123" xr:uid="{BC099EEF-6AAB-4789-BD69-4FC8A4ACF1AC}"/>
    <cellStyle name="Comma 5 2" xfId="177" xr:uid="{89D02B4A-4994-4991-A89F-7A768E783090}"/>
    <cellStyle name="Comma 5 2 2" xfId="313" xr:uid="{207F8037-FEF9-4E91-AB00-C449BE409646}"/>
    <cellStyle name="Comma 5 3" xfId="268" xr:uid="{3C8DA717-D196-4D19-992D-887148945150}"/>
    <cellStyle name="Comma 6" xfId="141" xr:uid="{03CC1471-9298-4545-AF70-DA45199E4E4A}"/>
    <cellStyle name="Comma 6 2" xfId="286" xr:uid="{D648109D-215F-4A2D-8806-66E3AC44B373}"/>
    <cellStyle name="Comma 7" xfId="196" xr:uid="{7E266D60-C095-40BD-BBE4-1B904F777B2B}"/>
    <cellStyle name="Comma 8" xfId="214" xr:uid="{1B28296C-9886-4064-AF35-BB45356335A0}"/>
    <cellStyle name="Comma 9" xfId="52" xr:uid="{090516FF-175D-4AC1-B158-BA11B90DABDA}"/>
    <cellStyle name="Currency 2" xfId="48" xr:uid="{C131435A-8C09-4FF5-A943-5F4FB70E7092}"/>
    <cellStyle name="Currency 2 2" xfId="56" xr:uid="{2B459FD6-90F0-4C08-8846-4A6F6CA7BB8A}"/>
    <cellStyle name="Currency 2 2 2" xfId="101" xr:uid="{85FFD953-BA80-40A8-94C3-ABA3982E2D18}"/>
    <cellStyle name="Currency 2 2 2 2" xfId="182" xr:uid="{7D9F963A-1CD1-4F9D-871C-74583156C5CD}"/>
    <cellStyle name="Currency 2 2 2 2 2" xfId="318" xr:uid="{9736A504-E422-4FEB-8B07-8AD1EADAD27F}"/>
    <cellStyle name="Currency 2 2 2 3" xfId="246" xr:uid="{13A58A58-24A1-47DB-93BA-673EEA1A6EAF}"/>
    <cellStyle name="Currency 2 2 3" xfId="128" xr:uid="{74DAED31-C521-4113-A610-BE4D5B32AF0C}"/>
    <cellStyle name="Currency 2 2 3 2" xfId="273" xr:uid="{A3FFFD4A-CFA9-4A47-BD84-CFBC83BDAF01}"/>
    <cellStyle name="Currency 2 2 4" xfId="166" xr:uid="{A79F683F-0CA9-44AF-920B-82613F258E2E}"/>
    <cellStyle name="Currency 2 2 4 2" xfId="304" xr:uid="{929CB153-1AB1-4DF0-A4A1-2BFFE05421CA}"/>
    <cellStyle name="Currency 2 2 5" xfId="219" xr:uid="{FDAD8E6B-624B-4D06-BEDE-268C2DAC8CC5}"/>
    <cellStyle name="Currency 2 3" xfId="100" xr:uid="{3400B326-D7DE-4B14-B073-10319318872E}"/>
    <cellStyle name="Currency 2 3 2" xfId="181" xr:uid="{7FB19C36-7A4A-43A1-B808-F0458A21CF5F}"/>
    <cellStyle name="Currency 2 3 2 2" xfId="317" xr:uid="{757ADB08-5CAF-4354-A46C-1A69F661EBDD}"/>
    <cellStyle name="Currency 2 3 3" xfId="245" xr:uid="{8228D393-8894-4A37-947E-26BFEA220636}"/>
    <cellStyle name="Currency 2 4" xfId="127" xr:uid="{C3D26B98-2AAE-4FA8-8961-9674DAB0DCB0}"/>
    <cellStyle name="Currency 2 4 2" xfId="272" xr:uid="{2C888C73-F1E3-443F-BB8E-1A37FBC98C1F}"/>
    <cellStyle name="Currency 2 5" xfId="165" xr:uid="{C6CEDF6F-335A-4801-A780-D3AE09EF61E0}"/>
    <cellStyle name="Currency 2 5 2" xfId="303" xr:uid="{DDC579B6-C95B-4229-82C2-3C5CE4AC0914}"/>
    <cellStyle name="Currency 2 6" xfId="189" xr:uid="{DC5F280E-5693-4C97-A604-D5383FD84629}"/>
    <cellStyle name="Currency 2 6 2" xfId="325" xr:uid="{04B8B7FD-3CE4-4DE8-B503-2D24589CA0EF}"/>
    <cellStyle name="Currency 2 6 3" xfId="348" xr:uid="{1DA78068-D0D6-47F8-9F13-DBDB36607F91}"/>
    <cellStyle name="Currency 2 7" xfId="218" xr:uid="{56D65733-F3A0-46D2-97E8-FAFF60D7CA70}"/>
    <cellStyle name="Explanatory Text" xfId="20" builtinId="53" customBuiltin="1"/>
    <cellStyle name="Good" xfId="10" builtinId="26" customBuiltin="1"/>
    <cellStyle name="Heading 1" xfId="8" builtinId="16" customBuiltin="1"/>
    <cellStyle name="Heading 2" xfId="1" builtinId="17" customBuiltin="1"/>
    <cellStyle name="Heading 3" xfId="4" builtinId="18" customBuiltin="1"/>
    <cellStyle name="Heading 4" xfId="9" builtinId="19" customBuiltin="1"/>
    <cellStyle name="Hyperlink" xfId="6" builtinId="8"/>
    <cellStyle name="Hyperlink 2" xfId="61" xr:uid="{37C71B99-FA3E-489B-AE5B-895F6BFB7AA3}"/>
    <cellStyle name="Hyperlink 3" xfId="62" xr:uid="{03BB1714-8508-4CE8-AA9A-490DA240C525}"/>
    <cellStyle name="Hyperlink 4" xfId="63" xr:uid="{2189AEB9-0EEA-4021-8506-90FB920A80A6}"/>
    <cellStyle name="Hyperlink 5" xfId="64" xr:uid="{DDC23322-F62E-4F5E-80BF-70A785E90CD1}"/>
    <cellStyle name="Hyperlink 6" xfId="65" xr:uid="{9A1E4F2C-C231-4620-A5AE-26D720CEBC42}"/>
    <cellStyle name="Hyperlink 7" xfId="339" xr:uid="{C5691A60-D8E7-4036-84FF-3310C7324F5E}"/>
    <cellStyle name="Hyperlink 8" xfId="60" xr:uid="{15F472F6-9FF8-40BC-8E0F-B475E820A0F0}"/>
    <cellStyle name="Input" xfId="13" builtinId="20" customBuiltin="1"/>
    <cellStyle name="Linked Cell" xfId="16" builtinId="24" customBuiltin="1"/>
    <cellStyle name="Neutral" xfId="12" builtinId="28" customBuiltin="1"/>
    <cellStyle name="Neutral 2" xfId="167" xr:uid="{7AD08E08-6BEC-4B68-A640-6F57AD1C2D84}"/>
    <cellStyle name="Neutral 3" xfId="66" xr:uid="{324DA2F9-5211-41E7-9307-F943F89FF2E8}"/>
    <cellStyle name="Normal" xfId="0" builtinId="0"/>
    <cellStyle name="Normal 10" xfId="67" xr:uid="{79C64E45-F30E-47B6-B151-F8178C9C7ED2}"/>
    <cellStyle name="Normal 10 2" xfId="102" xr:uid="{24308C71-2690-4D54-82C9-5494EEF6A027}"/>
    <cellStyle name="Normal 10 2 2" xfId="247" xr:uid="{E762C111-0414-4712-955E-7005325A90E5}"/>
    <cellStyle name="Normal 10 3" xfId="129" xr:uid="{28316DC5-472E-4404-9412-32D884114E61}"/>
    <cellStyle name="Normal 10 3 2" xfId="274" xr:uid="{32BDD258-A8B5-4C10-949F-21B362AB4F01}"/>
    <cellStyle name="Normal 10 4" xfId="168" xr:uid="{84BD9E33-3C5B-4BF0-8AC3-6EFE238537E2}"/>
    <cellStyle name="Normal 10 4 2" xfId="305" xr:uid="{56C2AC02-46DB-4588-A5D2-2CBB0EEDCFD0}"/>
    <cellStyle name="Normal 10 5" xfId="220" xr:uid="{31FCA6F8-7EC3-4769-A4BE-DC2679D458D6}"/>
    <cellStyle name="Normal 11" xfId="68" xr:uid="{94129D69-2402-4DFE-B375-C3EC866481AE}"/>
    <cellStyle name="Normal 11 2" xfId="103" xr:uid="{DF3A906A-72EE-4488-B2B6-128A86FA218E}"/>
    <cellStyle name="Normal 11 2 2" xfId="248" xr:uid="{30064011-6491-49D2-9102-6FC55EA8F11A}"/>
    <cellStyle name="Normal 11 3" xfId="130" xr:uid="{2D093130-0078-42A1-9B15-2C186F1EDB0A}"/>
    <cellStyle name="Normal 11 3 2" xfId="275" xr:uid="{328B32C6-B342-4CFC-8532-7790224345E0}"/>
    <cellStyle name="Normal 11 4" xfId="169" xr:uid="{0C0D1A81-FB36-407B-AE15-68D65C85FF05}"/>
    <cellStyle name="Normal 11 4 2" xfId="306" xr:uid="{9F869365-003B-40D3-9585-180EA25AAB21}"/>
    <cellStyle name="Normal 11 5" xfId="188" xr:uid="{05013752-78E1-4BAE-BB42-440351E8412A}"/>
    <cellStyle name="Normal 11 5 2" xfId="324" xr:uid="{2E88BF6C-5715-41A0-B939-A5A9C1538510}"/>
    <cellStyle name="Normal 11 5 3" xfId="338" xr:uid="{9EE54844-8DB0-405C-B429-38D902D2325F}"/>
    <cellStyle name="Normal 11 5 4" xfId="347" xr:uid="{70784EB8-B3B5-4A19-950B-A9A5EF228266}"/>
    <cellStyle name="Normal 11 6" xfId="194" xr:uid="{1FD9AAF9-292E-4865-AA00-5D5C8A92687A}"/>
    <cellStyle name="Normal 11 6 2" xfId="330" xr:uid="{E4018188-7C11-4BBE-B484-B73C957B1876}"/>
    <cellStyle name="Normal 11 6 3" xfId="337" xr:uid="{2E618AE1-D81F-4334-AF3A-5F680CA3E3C6}"/>
    <cellStyle name="Normal 11 7" xfId="221" xr:uid="{4823E9F2-BE4B-4DB3-A9E4-B6204444256F}"/>
    <cellStyle name="Normal 11 8" xfId="345" xr:uid="{8CE5F405-06AF-4670-8ADA-9B00DE35CF1B}"/>
    <cellStyle name="Normal 12" xfId="154" xr:uid="{76B5DBBE-F33F-43E9-AEF7-F56393E83960}"/>
    <cellStyle name="Normal 13" xfId="138" xr:uid="{E1F869CE-183A-48DD-8D45-25666B203F2D}"/>
    <cellStyle name="Normal 13 2" xfId="283" xr:uid="{5021B270-9A2B-48E8-92D2-75CA67456CC1}"/>
    <cellStyle name="Normal 14" xfId="195" xr:uid="{0FD8C401-87D7-4E43-A493-B73E52ED1C30}"/>
    <cellStyle name="Normal 15" xfId="47" xr:uid="{C1FA34D1-60C6-4E0A-AD60-591F6A75064E}"/>
    <cellStyle name="Normal 2" xfId="69" xr:uid="{849036A6-14A6-408C-895D-D6AFEFA97F12}"/>
    <cellStyle name="Normal 2 10" xfId="222" xr:uid="{205B8390-88A7-4E5D-A537-885F87191B13}"/>
    <cellStyle name="Normal 2 11" xfId="343" xr:uid="{B652CB74-89E7-4987-93F2-3E96AB6BD212}"/>
    <cellStyle name="Normal 2 2" xfId="70" xr:uid="{5D07C33B-709C-4659-81F6-255605AC476C}"/>
    <cellStyle name="Normal 2 2 2" xfId="71" xr:uid="{86F559B0-0D7C-4207-B9D2-476C8EDC663F}"/>
    <cellStyle name="Normal 2 2 2 2" xfId="106" xr:uid="{28EDD94B-C69D-4850-B9A7-DF7F4376C700}"/>
    <cellStyle name="Normal 2 2 2 2 2" xfId="187" xr:uid="{8820D6EC-EF2F-45DB-B3F9-6F427444D3E1}"/>
    <cellStyle name="Normal 2 2 2 2 2 2" xfId="323" xr:uid="{CC505B21-FA22-413A-A10F-BF6182C4679B}"/>
    <cellStyle name="Normal 2 2 2 2 2 3" xfId="331" xr:uid="{A0BA3868-F6BE-4122-A1AA-ED255E10ED5A}"/>
    <cellStyle name="Normal 2 2 2 2 2 4" xfId="3" xr:uid="{6F8836C7-C720-41A8-A085-5C1F5BEE8557}"/>
    <cellStyle name="Normal 2 2 2 2 3" xfId="251" xr:uid="{C2992C4D-FD48-474D-B191-20DE0CACD3E7}"/>
    <cellStyle name="Normal 2 2 2 3" xfId="133" xr:uid="{3BD2EA3B-BA47-4CD0-A864-B15E48F6B17D}"/>
    <cellStyle name="Normal 2 2 2 3 2" xfId="278" xr:uid="{7E9E3CA2-B38C-449B-8ED0-0416B91B44EA}"/>
    <cellStyle name="Normal 2 2 2 4" xfId="171" xr:uid="{2EF5226C-BFAA-418E-A695-73D323A0C933}"/>
    <cellStyle name="Normal 2 2 2 4 2" xfId="308" xr:uid="{01E60025-2F5F-4342-A6AC-A3E3214DF3C6}"/>
    <cellStyle name="Normal 2 2 2 5" xfId="224" xr:uid="{4EEE86B6-5B85-421A-9C4A-5E8440EC2765}"/>
    <cellStyle name="Normal 2 2 3" xfId="105" xr:uid="{C176DAD0-A4B3-4623-A596-26650A445E53}"/>
    <cellStyle name="Normal 2 2 3 2" xfId="186" xr:uid="{8444858C-97C8-4EE0-A6E0-CAC9AB4BF92A}"/>
    <cellStyle name="Normal 2 2 3 2 2" xfId="322" xr:uid="{742FFF5A-10F6-4C8D-B2F6-59F18809C43B}"/>
    <cellStyle name="Normal 2 2 3 2 3" xfId="351" xr:uid="{3845D740-CE79-4311-980B-8D01E25637FF}"/>
    <cellStyle name="Normal 2 2 3 3" xfId="250" xr:uid="{B4984506-3234-4F1C-890A-90A629C7CA32}"/>
    <cellStyle name="Normal 2 2 4" xfId="132" xr:uid="{0F335777-BF18-42C3-B06C-694146EA23E5}"/>
    <cellStyle name="Normal 2 2 4 2" xfId="190" xr:uid="{2A3EEB38-B13D-4EAE-8475-767AAD7CC691}"/>
    <cellStyle name="Normal 2 2 4 2 2" xfId="326" xr:uid="{79FAEB91-FE8F-4D08-AE47-D60855D63CF7}"/>
    <cellStyle name="Normal 2 2 4 2 3" xfId="333" xr:uid="{25000BE1-95B3-4066-8245-0C732FB72670}"/>
    <cellStyle name="Normal 2 2 4 3" xfId="277" xr:uid="{A4BBC285-8DFD-496E-AB9D-CEBCF4E6912E}"/>
    <cellStyle name="Normal 2 2 5" xfId="140" xr:uid="{EA68271A-5780-4B70-9A8E-D3247B9C9C32}"/>
    <cellStyle name="Normal 2 2 5 2" xfId="285" xr:uid="{70C72BEB-C580-46BC-8855-88C0F8D82DBC}"/>
    <cellStyle name="Normal 2 2 6" xfId="184" xr:uid="{AB9499D9-DFB2-466C-8499-197D8B955F92}"/>
    <cellStyle name="Normal 2 2 6 2" xfId="320" xr:uid="{854FA50B-57C4-45F3-A817-1104AB7429F9}"/>
    <cellStyle name="Normal 2 2 6 3" xfId="350" xr:uid="{298F7CCD-4EBB-4D42-A9D8-0931CDA89B3A}"/>
    <cellStyle name="Normal 2 2 7" xfId="192" xr:uid="{87ADAFC5-DCFE-4C41-B4B5-BBF5D917C285}"/>
    <cellStyle name="Normal 2 2 7 2" xfId="328" xr:uid="{2189279A-7D40-4C02-82B6-E2FD243897CE}"/>
    <cellStyle name="Normal 2 2 7 3" xfId="335" xr:uid="{43FBBAF9-D1FF-4AA1-9D68-3A41B34ED1BE}"/>
    <cellStyle name="Normal 2 2 8" xfId="223" xr:uid="{926EAC94-8FD5-42E3-AE42-FAC4148AAA2D}"/>
    <cellStyle name="Normal 2 2 9" xfId="2" xr:uid="{1A49DAAB-711D-4AA6-9D77-8DA333CE3DEA}"/>
    <cellStyle name="Normal 2 3" xfId="72" xr:uid="{B7D0743C-516D-4E22-9C97-9B560AB48E7E}"/>
    <cellStyle name="Normal 2 3 2" xfId="107" xr:uid="{686C4177-43AD-44CC-AFEA-4396E5104C55}"/>
    <cellStyle name="Normal 2 3 2 2" xfId="252" xr:uid="{F5E0C8C3-F195-4BA5-A4C2-D71ABC508593}"/>
    <cellStyle name="Normal 2 3 3" xfId="134" xr:uid="{EF8AA475-2D88-4468-B517-657D604ECBC2}"/>
    <cellStyle name="Normal 2 3 3 2" xfId="279" xr:uid="{A7FC6BBF-9BF1-440B-8034-9AD76974ED66}"/>
    <cellStyle name="Normal 2 3 4" xfId="172" xr:uid="{26EE8BB4-96E4-42B3-91AD-5EF71E9DAF7F}"/>
    <cellStyle name="Normal 2 3 4 2" xfId="309" xr:uid="{86D3CFB0-EE54-4011-B6D0-3D8FFE44AE5D}"/>
    <cellStyle name="Normal 2 3 5" xfId="225" xr:uid="{0B22A159-FEA8-4749-AF10-F4F88062284F}"/>
    <cellStyle name="Normal 2 4" xfId="104" xr:uid="{D3FE8226-9038-485B-9375-B77B43779961}"/>
    <cellStyle name="Normal 2 4 2" xfId="249" xr:uid="{D36D8D75-3626-4DF3-B4F1-709D206E78FA}"/>
    <cellStyle name="Normal 2 5" xfId="131" xr:uid="{84EBBCBA-5D2C-4943-8A43-09525095C224}"/>
    <cellStyle name="Normal 2 5 2" xfId="276" xr:uid="{E474A4FB-0EEC-4B90-A0E0-9793304BFA8E}"/>
    <cellStyle name="Normal 2 6" xfId="170" xr:uid="{004ACE93-0ED4-483A-A50B-3A4EE18C0EC8}"/>
    <cellStyle name="Normal 2 6 2" xfId="307" xr:uid="{67145686-60F1-404A-AEFA-F005E5AF060B}"/>
    <cellStyle name="Normal 2 7" xfId="183" xr:uid="{F9897903-5657-4184-86BF-85C015D90DB2}"/>
    <cellStyle name="Normal 2 7 2" xfId="319" xr:uid="{31B6C40F-CCD0-4CE2-86C5-CB225D1934B1}"/>
    <cellStyle name="Normal 2 7 3" xfId="349" xr:uid="{9D35FBB0-C907-44C0-A59F-8A4C5ADE5425}"/>
    <cellStyle name="Normal 2 8" xfId="191" xr:uid="{9B7FAE47-75A0-4DC7-A154-3B2B8E530999}"/>
    <cellStyle name="Normal 2 8 2" xfId="327" xr:uid="{A70A1568-4A25-478F-89B6-55470393E72A}"/>
    <cellStyle name="Normal 2 8 3" xfId="334" xr:uid="{6E58A29F-82F7-4BDB-9C74-06AB43BC9BE0}"/>
    <cellStyle name="Normal 2 9" xfId="199" xr:uid="{30A75FEF-C8D4-4011-8666-5F0538822C77}"/>
    <cellStyle name="Normal 3" xfId="73" xr:uid="{4E9EF755-012B-4DD0-A20B-4303F5A8FAA4}"/>
    <cellStyle name="Normal 3 2" xfId="200" xr:uid="{EE589F1F-6443-4D8B-B2BB-0AA411B91D3E}"/>
    <cellStyle name="Normal 4" xfId="74" xr:uid="{3ECB7E97-07A3-4572-AB61-6D7912067CFE}"/>
    <cellStyle name="Normal 4 2" xfId="75" xr:uid="{189B87A2-BCC5-4A5B-B11F-276DBB241501}"/>
    <cellStyle name="Normal 4 3" xfId="201" xr:uid="{C60719E5-DD14-43D0-84E5-CCABC8BDD738}"/>
    <cellStyle name="Normal 5" xfId="76" xr:uid="{EBFA96C9-303B-4BEC-BE03-CAC07AA58FF0}"/>
    <cellStyle name="Normal 6" xfId="77" xr:uid="{0A04D13A-1082-47F2-A7C7-ABAFEE7A8A04}"/>
    <cellStyle name="Normal 7" xfId="78" xr:uid="{DD0FBEBD-0A8D-44E0-8CDD-D1B0362155AE}"/>
    <cellStyle name="Normal 7 2" xfId="79" xr:uid="{290FF8E5-50D4-47BA-813A-54E54F1F3656}"/>
    <cellStyle name="Normal 7 2 2" xfId="109" xr:uid="{ABD338DA-206D-4CE7-A34D-9B90A8335B9D}"/>
    <cellStyle name="Normal 7 2 2 2" xfId="254" xr:uid="{70F8C36F-FC4F-45C4-8547-5991F93AAF51}"/>
    <cellStyle name="Normal 7 2 3" xfId="136" xr:uid="{7550FBEF-5717-46CA-9F5B-CFC5C19D9916}"/>
    <cellStyle name="Normal 7 2 3 2" xfId="281" xr:uid="{322A4F11-F4C4-4841-BF53-76670B7CD3A7}"/>
    <cellStyle name="Normal 7 2 4" xfId="174" xr:uid="{3FCBB0C4-89D2-47DE-9221-8F370E9A2FEC}"/>
    <cellStyle name="Normal 7 2 4 2" xfId="311" xr:uid="{9E91A277-FB15-4A37-B1F1-1A82DFF7C0F9}"/>
    <cellStyle name="Normal 7 2 5" xfId="227" xr:uid="{070340E3-892D-48E5-875B-CDD777806BB2}"/>
    <cellStyle name="Normal 7 3" xfId="108" xr:uid="{2412AB47-F4BB-4609-8F9B-94AC037A632D}"/>
    <cellStyle name="Normal 7 3 2" xfId="253" xr:uid="{9720D370-6E2E-477A-8F28-CE83E2CE0DB1}"/>
    <cellStyle name="Normal 7 4" xfId="135" xr:uid="{E04F5BEA-F6F0-49C7-BC5A-1059A90F9B44}"/>
    <cellStyle name="Normal 7 4 2" xfId="280" xr:uid="{550AB3BE-D804-4032-AE62-1E58FA2FB5A0}"/>
    <cellStyle name="Normal 7 5" xfId="173" xr:uid="{A621B00A-360B-4FEB-9D34-8FBD48A85E85}"/>
    <cellStyle name="Normal 7 5 2" xfId="310" xr:uid="{B3E1E4FD-0D33-44AA-9E51-05876EC4D7C1}"/>
    <cellStyle name="Normal 7 6" xfId="226" xr:uid="{0ACBFD16-CCED-4902-9259-E8E8FA3C0409}"/>
    <cellStyle name="Normal 8" xfId="80" xr:uid="{BF30A6A0-2F04-4105-A895-89706858D92A}"/>
    <cellStyle name="Normal 9" xfId="81" xr:uid="{2BCFDE9A-A787-438B-AE10-6B5837A3F2D8}"/>
    <cellStyle name="Note" xfId="19" builtinId="10" customBuiltin="1"/>
    <cellStyle name="Note 2" xfId="82" xr:uid="{DA0631F3-4013-477B-B200-C39ADF3A4B0E}"/>
    <cellStyle name="Note 2 2" xfId="110" xr:uid="{AE5E3BCD-0807-475D-93A0-2A241E1A8E5B}"/>
    <cellStyle name="Note 2 2 2" xfId="255" xr:uid="{76A0D0BD-69FD-47D8-9EAE-7DF0E8B6AFD6}"/>
    <cellStyle name="Note 2 3" xfId="137" xr:uid="{E5399B36-89C3-49FF-BEBA-907C48C53C21}"/>
    <cellStyle name="Note 2 3 2" xfId="282" xr:uid="{E5C10576-ECF7-4C12-BFEB-2B13211DE6EE}"/>
    <cellStyle name="Note 2 4" xfId="175" xr:uid="{FB2F634D-C71E-4E3C-8974-B8C8DCF5D84F}"/>
    <cellStyle name="Note 2 4 2" xfId="312" xr:uid="{DDD63651-F173-4E26-AA33-97D08ADEDDAE}"/>
    <cellStyle name="Note 2 5" xfId="228" xr:uid="{E44FA28E-5F2B-445B-8E01-B2CED820796E}"/>
    <cellStyle name="Output" xfId="14" builtinId="21" customBuiltin="1"/>
    <cellStyle name="Percent 2" xfId="139" xr:uid="{3FB4DE62-ED69-4C07-B209-7C206062DD0C}"/>
    <cellStyle name="Percent 2 2" xfId="284" xr:uid="{C55978F0-F000-487F-8CCC-0B56FB852BCA}"/>
    <cellStyle name="Percent 3" xfId="341" xr:uid="{FAF376D7-916F-4184-9810-316C14E0460D}"/>
    <cellStyle name="Percent 4" xfId="342" xr:uid="{99BBD1A5-DA13-44BA-A80A-6D72A1C8F3E3}"/>
    <cellStyle name="Title" xfId="7" builtinId="15" customBuiltin="1"/>
    <cellStyle name="Title 2" xfId="176" xr:uid="{B117BC62-6A44-400C-AEE2-439EB230DBFC}"/>
    <cellStyle name="Title 3" xfId="83" xr:uid="{0570AEC7-F572-4446-830E-E9267CF09C51}"/>
    <cellStyle name="Total" xfId="21" builtinId="25" customBuiltin="1"/>
    <cellStyle name="Warning Text" xfId="18" builtinId="11" customBuiltin="1"/>
  </cellStyles>
  <dxfs count="1"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22860</xdr:rowOff>
    </xdr:from>
    <xdr:to>
      <xdr:col>8</xdr:col>
      <xdr:colOff>15671</xdr:colOff>
      <xdr:row>33</xdr:row>
      <xdr:rowOff>135472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87BA2-3034-4A80-BEB8-0CE3DAD2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5200"/>
          <a:ext cx="4976291" cy="2499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kfires.org/probs/data/UK-wood/Observation-140" TargetMode="External"/><Relationship Id="rId2" Type="http://schemas.openxmlformats.org/officeDocument/2006/relationships/hyperlink" Target="http://ukfires.org/probs/data/UK-wood/Observation-133" TargetMode="External"/><Relationship Id="rId1" Type="http://schemas.openxmlformats.org/officeDocument/2006/relationships/hyperlink" Target="http://ukfires.org/probs/data/UK-wood/Observation-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ukfires.org/probs/data/UK-wood/Observation-14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oodenwindows.com/windowbuilder.html?window=db613&amp;gclid=Cj0KCQjwn9CgBhDjARIsAD15h0AVIwLcv2y3cwoIirfIC3X3cclHP3PNupBAf2Aw9HRWkpmnnPPW77caAscZEALw_wcB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gnermeters.com/moisture-meters/wood-info/acceptable-moisture-levels-wood/" TargetMode="External"/><Relationship Id="rId2" Type="http://schemas.openxmlformats.org/officeDocument/2006/relationships/hyperlink" Target="https://www.wagnermeters.com/moisture-meters/wood-info/acceptable-moisture-levels-wood/" TargetMode="External"/><Relationship Id="rId1" Type="http://schemas.openxmlformats.org/officeDocument/2006/relationships/hyperlink" Target="https://www.wagnermeters.com/moisture-meters/wood-info/acceptable-moisture-levels-wood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assets.publishing.service.gov.uk/government/uploads/system/uploads/attachment_data/file/725085/Floor_Space_in_English_Homes_main_report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dn.forestresearch.gov.uk/2022/02/investigationroundwoodtradedata.pdf" TargetMode="External"/><Relationship Id="rId1" Type="http://schemas.openxmlformats.org/officeDocument/2006/relationships/hyperlink" Target="https://cdn.forestresearch.gov.uk/2022/02/investigationroundwoodtradedata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oodsure.co.uk/fuels/woodchip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nsorsandtransmitters.com/paper-production-how-measuring-moisture-can-improve-the-final-product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timcon.org/timberdryingstudy/Downloads/Dry%20Pallet%20-%20Process%20Standard%20for%20Timber%20Pallets%20-%20Best%20Practice%20Guide.pdf" TargetMode="External"/><Relationship Id="rId1" Type="http://schemas.openxmlformats.org/officeDocument/2006/relationships/hyperlink" Target="https://www.timcon.org/timberdryingstudy/Downloads/Dry%20Pallet%20-%20Process%20Standard%20for%20Timber%20Pallets%20-%20Best%20Practice%20Guide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DDC4-71AF-4822-B51E-055D7DEE741C}">
  <dimension ref="A1:U126"/>
  <sheetViews>
    <sheetView tabSelected="1" topLeftCell="A96" zoomScale="70" zoomScaleNormal="70" workbookViewId="0">
      <selection activeCell="B129" sqref="B129"/>
    </sheetView>
  </sheetViews>
  <sheetFormatPr defaultRowHeight="14.4"/>
  <cols>
    <col min="1" max="1" width="52.33203125" style="28" bestFit="1" customWidth="1"/>
    <col min="2" max="2" width="13.5546875" bestFit="1" customWidth="1"/>
    <col min="3" max="3" width="10.6640625" bestFit="1" customWidth="1"/>
    <col min="4" max="4" width="14.6640625" bestFit="1" customWidth="1"/>
    <col min="5" max="5" width="21.109375" bestFit="1" customWidth="1"/>
    <col min="6" max="6" width="31" customWidth="1"/>
    <col min="7" max="7" width="31" style="90" customWidth="1"/>
    <col min="8" max="8" width="23.33203125" bestFit="1" customWidth="1"/>
    <col min="9" max="9" width="12.33203125" customWidth="1"/>
    <col min="10" max="10" width="13.33203125" customWidth="1"/>
    <col min="11" max="11" width="17.88671875" bestFit="1" customWidth="1"/>
    <col min="12" max="12" width="19.5546875" bestFit="1" customWidth="1"/>
  </cols>
  <sheetData>
    <row r="1" spans="1:21" ht="15" thickBot="1">
      <c r="A1" s="10" t="s">
        <v>187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343</v>
      </c>
      <c r="H1" s="10" t="s">
        <v>470</v>
      </c>
      <c r="I1" s="10" t="s">
        <v>56</v>
      </c>
      <c r="J1" s="10" t="s">
        <v>59</v>
      </c>
      <c r="K1" s="41" t="s">
        <v>54</v>
      </c>
      <c r="L1" s="10" t="s">
        <v>55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25" t="s">
        <v>280</v>
      </c>
      <c r="S1" s="25" t="s">
        <v>153</v>
      </c>
      <c r="T1" s="32" t="s">
        <v>427</v>
      </c>
      <c r="U1" s="32" t="s">
        <v>353</v>
      </c>
    </row>
    <row r="2" spans="1:21">
      <c r="A2" s="14" t="s">
        <v>188</v>
      </c>
      <c r="B2" s="28" t="s">
        <v>5</v>
      </c>
      <c r="C2" s="28" t="s">
        <v>6</v>
      </c>
      <c r="D2" s="28" t="s">
        <v>13</v>
      </c>
      <c r="E2" s="28" t="s">
        <v>9</v>
      </c>
      <c r="F2" s="28" t="s">
        <v>182</v>
      </c>
      <c r="G2" s="90">
        <f>H2*1000</f>
        <v>9075000000</v>
      </c>
      <c r="H2" s="1">
        <f>'Roundwood and other raw wood'!F10</f>
        <v>9075000</v>
      </c>
      <c r="I2" s="30" t="s">
        <v>467</v>
      </c>
      <c r="J2" s="30" t="s">
        <v>180</v>
      </c>
      <c r="K2" s="7">
        <f>'Roundwood and other raw wood'!I10</f>
        <v>9801000</v>
      </c>
      <c r="L2" s="30" t="s">
        <v>76</v>
      </c>
      <c r="M2" s="30">
        <v>2.2999999999999998</v>
      </c>
      <c r="N2" s="86">
        <v>4.5</v>
      </c>
      <c r="O2" s="30">
        <v>0</v>
      </c>
      <c r="P2" s="30">
        <v>0</v>
      </c>
      <c r="Q2" s="61">
        <v>0</v>
      </c>
      <c r="R2" s="16">
        <f>SQRT(M2^2+N2^2+O2^2+P2^2+Q2^2)</f>
        <v>5.0537115073973107</v>
      </c>
      <c r="S2" s="61">
        <f>R2/100</f>
        <v>5.0537115073973106E-2</v>
      </c>
    </row>
    <row r="3" spans="1:21">
      <c r="A3" s="14" t="s">
        <v>189</v>
      </c>
      <c r="B3" s="28" t="s">
        <v>5</v>
      </c>
      <c r="C3" s="28" t="s">
        <v>6</v>
      </c>
      <c r="D3" s="28" t="s">
        <v>13</v>
      </c>
      <c r="E3" s="28" t="s">
        <v>8</v>
      </c>
      <c r="F3" s="28" t="s">
        <v>183</v>
      </c>
      <c r="G3" s="90">
        <f t="shared" ref="G3:G66" si="0">H3*1000</f>
        <v>804629629.62962961</v>
      </c>
      <c r="H3" s="1">
        <f>'Roundwood and other raw wood'!F11</f>
        <v>804629.62962962966</v>
      </c>
      <c r="I3" s="85" t="s">
        <v>467</v>
      </c>
      <c r="J3" s="30" t="s">
        <v>180</v>
      </c>
      <c r="K3" s="7">
        <f>'Roundwood and other raw wood'!I11</f>
        <v>869000</v>
      </c>
      <c r="L3" s="30" t="s">
        <v>76</v>
      </c>
      <c r="M3" s="30">
        <v>2.2999999999999998</v>
      </c>
      <c r="N3" s="86">
        <v>4.5</v>
      </c>
      <c r="O3" s="30">
        <v>0</v>
      </c>
      <c r="P3" s="30">
        <v>0</v>
      </c>
      <c r="Q3" s="61">
        <v>0</v>
      </c>
      <c r="R3" s="16">
        <f>SQRT(M3^2+N3^2+O3^2+P3^2+Q3^2)</f>
        <v>5.0537115073973107</v>
      </c>
      <c r="S3" s="61">
        <f>R3/100</f>
        <v>5.0537115073973106E-2</v>
      </c>
    </row>
    <row r="4" spans="1:21">
      <c r="A4" s="14" t="s">
        <v>190</v>
      </c>
      <c r="B4" t="s">
        <v>5</v>
      </c>
      <c r="C4" t="s">
        <v>6</v>
      </c>
      <c r="D4" t="s">
        <v>10</v>
      </c>
      <c r="E4" t="s">
        <v>9</v>
      </c>
      <c r="F4" t="s">
        <v>11</v>
      </c>
      <c r="G4" s="90">
        <f t="shared" si="0"/>
        <v>5447222222.2222223</v>
      </c>
      <c r="H4">
        <f>'Roundwood and other raw wood'!F2</f>
        <v>5447222.222222222</v>
      </c>
      <c r="I4" s="85" t="s">
        <v>467</v>
      </c>
      <c r="J4" t="s">
        <v>61</v>
      </c>
      <c r="K4" s="7">
        <v>6227000</v>
      </c>
      <c r="L4" t="s">
        <v>76</v>
      </c>
      <c r="M4">
        <v>2.2999999999999998</v>
      </c>
      <c r="N4">
        <v>4.5</v>
      </c>
      <c r="O4">
        <v>0</v>
      </c>
      <c r="P4">
        <v>0</v>
      </c>
      <c r="Q4">
        <v>0</v>
      </c>
      <c r="R4" s="16">
        <f t="shared" ref="R4:R6" si="1">SQRT(M4^2+N4^2+O4^2+P4^2+Q4^2)</f>
        <v>5.0537115073973107</v>
      </c>
      <c r="S4" s="29">
        <f t="shared" ref="S4:S65" si="2">R4/100</f>
        <v>5.0537115073973106E-2</v>
      </c>
      <c r="T4" s="71" t="s">
        <v>421</v>
      </c>
    </row>
    <row r="5" spans="1:21">
      <c r="A5" s="14" t="s">
        <v>191</v>
      </c>
      <c r="B5" t="s">
        <v>5</v>
      </c>
      <c r="C5" t="s">
        <v>6</v>
      </c>
      <c r="D5" t="s">
        <v>10</v>
      </c>
      <c r="E5" t="s">
        <v>8</v>
      </c>
      <c r="F5" t="s">
        <v>12</v>
      </c>
      <c r="G5" s="90">
        <f t="shared" si="0"/>
        <v>62037037.037037037</v>
      </c>
      <c r="H5">
        <f>'Roundwood and other raw wood'!F3</f>
        <v>62037.037037037036</v>
      </c>
      <c r="I5" s="85" t="s">
        <v>467</v>
      </c>
      <c r="J5" t="s">
        <v>78</v>
      </c>
      <c r="K5" s="7">
        <v>89000</v>
      </c>
      <c r="L5" t="s">
        <v>76</v>
      </c>
      <c r="M5" s="30">
        <v>2.2999999999999998</v>
      </c>
      <c r="N5" s="30">
        <v>4.5</v>
      </c>
      <c r="O5" s="30">
        <v>0</v>
      </c>
      <c r="P5" s="30">
        <v>0</v>
      </c>
      <c r="Q5" s="30">
        <v>0</v>
      </c>
      <c r="R5" s="16">
        <f t="shared" si="1"/>
        <v>5.0537115073973107</v>
      </c>
      <c r="S5" s="30">
        <f t="shared" si="2"/>
        <v>5.0537115073973106E-2</v>
      </c>
      <c r="T5" s="71" t="s">
        <v>421</v>
      </c>
    </row>
    <row r="6" spans="1:21">
      <c r="A6" s="14" t="s">
        <v>192</v>
      </c>
      <c r="B6" t="s">
        <v>5</v>
      </c>
      <c r="C6" t="s">
        <v>6</v>
      </c>
      <c r="D6" t="s">
        <v>13</v>
      </c>
      <c r="E6" t="s">
        <v>14</v>
      </c>
      <c r="F6" t="s">
        <v>11</v>
      </c>
      <c r="G6" s="90">
        <f t="shared" si="0"/>
        <v>3614600000</v>
      </c>
      <c r="H6" s="1">
        <f>Sawnwood!F2</f>
        <v>3614600</v>
      </c>
      <c r="I6" s="85" t="s">
        <v>467</v>
      </c>
      <c r="J6" t="s">
        <v>81</v>
      </c>
      <c r="K6" s="7">
        <v>3410000</v>
      </c>
      <c r="L6" t="s">
        <v>58</v>
      </c>
      <c r="M6">
        <v>2.2999999999999998</v>
      </c>
      <c r="N6">
        <v>0</v>
      </c>
      <c r="O6">
        <v>0</v>
      </c>
      <c r="P6">
        <v>0</v>
      </c>
      <c r="Q6">
        <v>0</v>
      </c>
      <c r="R6" s="16">
        <f t="shared" si="1"/>
        <v>2.2999999999999998</v>
      </c>
      <c r="S6" s="30">
        <f t="shared" si="2"/>
        <v>2.3E-2</v>
      </c>
      <c r="T6" s="71" t="s">
        <v>423</v>
      </c>
    </row>
    <row r="7" spans="1:21">
      <c r="A7" s="14" t="s">
        <v>193</v>
      </c>
      <c r="B7" t="s">
        <v>5</v>
      </c>
      <c r="C7" t="s">
        <v>6</v>
      </c>
      <c r="D7" t="s">
        <v>13</v>
      </c>
      <c r="E7" t="s">
        <v>15</v>
      </c>
      <c r="F7" t="s">
        <v>12</v>
      </c>
      <c r="G7" s="90">
        <f t="shared" si="0"/>
        <v>49820000</v>
      </c>
      <c r="H7" s="1">
        <f>Sawnwood!F3</f>
        <v>49820</v>
      </c>
      <c r="I7" s="85" t="s">
        <v>467</v>
      </c>
      <c r="J7" t="s">
        <v>81</v>
      </c>
      <c r="K7" s="7">
        <v>47000</v>
      </c>
      <c r="L7" t="s">
        <v>58</v>
      </c>
      <c r="M7" s="53">
        <v>2.2999999999999998</v>
      </c>
      <c r="N7" s="30">
        <v>0</v>
      </c>
      <c r="O7" s="30">
        <v>0</v>
      </c>
      <c r="P7" s="30">
        <v>0</v>
      </c>
      <c r="Q7" s="30">
        <v>0</v>
      </c>
      <c r="R7" s="16">
        <f t="shared" ref="R7:R69" si="3">SQRT(M7^2+N7^2+O7^2+P7^2+Q7^2)</f>
        <v>2.2999999999999998</v>
      </c>
      <c r="S7" s="30">
        <f t="shared" si="2"/>
        <v>2.3E-2</v>
      </c>
      <c r="T7" s="71" t="s">
        <v>423</v>
      </c>
    </row>
    <row r="8" spans="1:21" s="28" customFormat="1">
      <c r="A8" s="14" t="s">
        <v>194</v>
      </c>
      <c r="B8" s="28" t="s">
        <v>5</v>
      </c>
      <c r="C8" s="28" t="s">
        <v>6</v>
      </c>
      <c r="D8" s="28" t="s">
        <v>16</v>
      </c>
      <c r="E8" s="28" t="s">
        <v>9</v>
      </c>
      <c r="G8" s="90">
        <f t="shared" si="0"/>
        <v>164106458.33333334</v>
      </c>
      <c r="H8" s="30">
        <f>'Roundwood and other raw wood'!F14</f>
        <v>164106.45833333334</v>
      </c>
      <c r="I8" s="85" t="s">
        <v>467</v>
      </c>
      <c r="J8" s="30" t="s">
        <v>181</v>
      </c>
      <c r="K8" s="7">
        <f>'Roundwood and other raw wood'!I14</f>
        <v>177234975</v>
      </c>
      <c r="L8" s="28" t="s">
        <v>105</v>
      </c>
      <c r="M8" s="53">
        <v>20.6</v>
      </c>
      <c r="N8" s="30">
        <v>0</v>
      </c>
      <c r="O8" s="30">
        <v>0</v>
      </c>
      <c r="P8" s="30">
        <v>0</v>
      </c>
      <c r="Q8" s="30">
        <v>0</v>
      </c>
      <c r="R8" s="16">
        <f t="shared" si="3"/>
        <v>20.6</v>
      </c>
      <c r="S8" s="30">
        <f t="shared" si="2"/>
        <v>0.20600000000000002</v>
      </c>
      <c r="T8" s="71" t="s">
        <v>422</v>
      </c>
    </row>
    <row r="9" spans="1:21" s="28" customFormat="1">
      <c r="A9" s="14" t="s">
        <v>195</v>
      </c>
      <c r="B9" s="28" t="s">
        <v>5</v>
      </c>
      <c r="C9" s="28" t="s">
        <v>6</v>
      </c>
      <c r="D9" s="28" t="s">
        <v>16</v>
      </c>
      <c r="E9" s="28" t="s">
        <v>8</v>
      </c>
      <c r="G9" s="90">
        <f t="shared" si="0"/>
        <v>4110451.8518518517</v>
      </c>
      <c r="H9" s="30">
        <f>'Roundwood and other raw wood'!F16</f>
        <v>4110.4518518518516</v>
      </c>
      <c r="I9" s="85" t="s">
        <v>467</v>
      </c>
      <c r="J9" s="30" t="s">
        <v>181</v>
      </c>
      <c r="K9" s="7">
        <f>'Roundwood and other raw wood'!I16</f>
        <v>4439288</v>
      </c>
      <c r="L9" s="30" t="s">
        <v>105</v>
      </c>
      <c r="M9" s="53">
        <v>20.6</v>
      </c>
      <c r="N9" s="30">
        <v>0</v>
      </c>
      <c r="O9" s="30">
        <v>0</v>
      </c>
      <c r="P9" s="30">
        <v>0</v>
      </c>
      <c r="Q9" s="30">
        <v>0</v>
      </c>
      <c r="R9" s="16">
        <f t="shared" si="3"/>
        <v>20.6</v>
      </c>
      <c r="S9" s="30">
        <f t="shared" si="2"/>
        <v>0.20600000000000002</v>
      </c>
      <c r="T9" s="71" t="s">
        <v>422</v>
      </c>
    </row>
    <row r="10" spans="1:21" s="28" customFormat="1">
      <c r="A10" s="14" t="s">
        <v>196</v>
      </c>
      <c r="B10" s="28" t="s">
        <v>5</v>
      </c>
      <c r="C10" s="28" t="s">
        <v>6</v>
      </c>
      <c r="D10" s="28" t="s">
        <v>7</v>
      </c>
      <c r="E10" s="28" t="s">
        <v>9</v>
      </c>
      <c r="G10" s="90">
        <f t="shared" si="0"/>
        <v>635014712.03703701</v>
      </c>
      <c r="H10" s="30">
        <f>'Roundwood and other raw wood'!F13</f>
        <v>635014.71203703701</v>
      </c>
      <c r="I10" s="85" t="s">
        <v>467</v>
      </c>
      <c r="J10" s="30" t="s">
        <v>181</v>
      </c>
      <c r="K10" s="7">
        <f>'Roundwood and other raw wood'!I13</f>
        <v>685815889</v>
      </c>
      <c r="L10" s="30" t="s">
        <v>105</v>
      </c>
      <c r="M10" s="30">
        <v>20.6</v>
      </c>
      <c r="N10" s="30">
        <v>0</v>
      </c>
      <c r="O10" s="30">
        <v>0</v>
      </c>
      <c r="P10" s="30">
        <v>0</v>
      </c>
      <c r="Q10" s="30">
        <v>0</v>
      </c>
      <c r="R10" s="16">
        <f t="shared" si="3"/>
        <v>20.6</v>
      </c>
      <c r="S10" s="30">
        <f t="shared" si="2"/>
        <v>0.20600000000000002</v>
      </c>
      <c r="T10" s="71" t="s">
        <v>422</v>
      </c>
    </row>
    <row r="11" spans="1:21" s="28" customFormat="1">
      <c r="A11" s="14" t="s">
        <v>197</v>
      </c>
      <c r="B11" s="28" t="s">
        <v>5</v>
      </c>
      <c r="C11" s="28" t="s">
        <v>6</v>
      </c>
      <c r="D11" s="28" t="s">
        <v>7</v>
      </c>
      <c r="E11" s="28" t="s">
        <v>8</v>
      </c>
      <c r="G11" s="90">
        <f t="shared" si="0"/>
        <v>69750658.333333343</v>
      </c>
      <c r="H11" s="30">
        <f>'Roundwood and other raw wood'!F15</f>
        <v>69750.65833333334</v>
      </c>
      <c r="I11" s="85" t="s">
        <v>467</v>
      </c>
      <c r="J11" s="30" t="s">
        <v>181</v>
      </c>
      <c r="K11" s="7">
        <f>'Roundwood and other raw wood'!I16</f>
        <v>4439288</v>
      </c>
      <c r="L11" s="30" t="s">
        <v>105</v>
      </c>
      <c r="M11" s="30">
        <v>20.6</v>
      </c>
      <c r="N11" s="30">
        <v>0</v>
      </c>
      <c r="O11" s="30">
        <v>0</v>
      </c>
      <c r="P11" s="30">
        <v>0</v>
      </c>
      <c r="Q11" s="30">
        <v>0</v>
      </c>
      <c r="R11" s="16">
        <f t="shared" si="3"/>
        <v>20.6</v>
      </c>
      <c r="S11" s="30">
        <f t="shared" si="2"/>
        <v>0.20600000000000002</v>
      </c>
      <c r="T11" s="71" t="s">
        <v>422</v>
      </c>
    </row>
    <row r="12" spans="1:21">
      <c r="A12" s="14" t="s">
        <v>198</v>
      </c>
      <c r="B12" t="s">
        <v>5</v>
      </c>
      <c r="C12" t="s">
        <v>6</v>
      </c>
      <c r="D12" t="s">
        <v>7</v>
      </c>
      <c r="E12" t="s">
        <v>14</v>
      </c>
      <c r="G12" s="90">
        <f t="shared" si="0"/>
        <v>6823220000</v>
      </c>
      <c r="H12" s="1">
        <f>Sawnwood!F4</f>
        <v>6823220</v>
      </c>
      <c r="I12" s="85" t="s">
        <v>467</v>
      </c>
      <c r="J12" t="s">
        <v>81</v>
      </c>
      <c r="K12" s="7">
        <v>6437000</v>
      </c>
      <c r="L12" t="s">
        <v>58</v>
      </c>
      <c r="M12" s="30">
        <v>2.2999999999999998</v>
      </c>
      <c r="N12" s="30">
        <v>0</v>
      </c>
      <c r="O12" s="30">
        <v>0</v>
      </c>
      <c r="P12" s="30">
        <v>0</v>
      </c>
      <c r="Q12" s="30">
        <v>0</v>
      </c>
      <c r="R12" s="16">
        <f t="shared" si="3"/>
        <v>2.2999999999999998</v>
      </c>
      <c r="S12" s="30">
        <f t="shared" si="2"/>
        <v>2.3E-2</v>
      </c>
      <c r="T12" s="71" t="s">
        <v>423</v>
      </c>
    </row>
    <row r="13" spans="1:21">
      <c r="A13" s="14" t="s">
        <v>199</v>
      </c>
      <c r="B13" t="s">
        <v>5</v>
      </c>
      <c r="C13" t="s">
        <v>6</v>
      </c>
      <c r="D13" t="s">
        <v>7</v>
      </c>
      <c r="E13" t="s">
        <v>15</v>
      </c>
      <c r="G13" s="90">
        <f t="shared" si="0"/>
        <v>639180000</v>
      </c>
      <c r="H13" s="1">
        <f>Sawnwood!F5</f>
        <v>639180</v>
      </c>
      <c r="I13" s="85" t="s">
        <v>467</v>
      </c>
      <c r="J13" t="s">
        <v>81</v>
      </c>
      <c r="K13" s="7">
        <v>603000</v>
      </c>
      <c r="L13" t="s">
        <v>58</v>
      </c>
      <c r="M13" s="30">
        <v>2.2999999999999998</v>
      </c>
      <c r="N13" s="30">
        <v>0</v>
      </c>
      <c r="O13" s="30">
        <v>0</v>
      </c>
      <c r="P13" s="30">
        <v>0</v>
      </c>
      <c r="Q13" s="30">
        <v>0</v>
      </c>
      <c r="R13" s="16">
        <f t="shared" si="3"/>
        <v>2.2999999999999998</v>
      </c>
      <c r="S13" s="30">
        <f t="shared" si="2"/>
        <v>2.3E-2</v>
      </c>
      <c r="T13" s="71" t="s">
        <v>423</v>
      </c>
    </row>
    <row r="14" spans="1:21">
      <c r="A14" s="14" t="s">
        <v>200</v>
      </c>
      <c r="B14" t="s">
        <v>5</v>
      </c>
      <c r="C14" t="s">
        <v>6</v>
      </c>
      <c r="D14" t="s">
        <v>16</v>
      </c>
      <c r="E14" t="s">
        <v>14</v>
      </c>
      <c r="G14" s="90">
        <f t="shared" si="0"/>
        <v>204580000</v>
      </c>
      <c r="H14" s="1">
        <f>Sawnwood!F6</f>
        <v>204580</v>
      </c>
      <c r="I14" s="85" t="s">
        <v>467</v>
      </c>
      <c r="J14" t="s">
        <v>81</v>
      </c>
      <c r="K14" s="7">
        <v>193000</v>
      </c>
      <c r="L14" t="s">
        <v>58</v>
      </c>
      <c r="M14" s="30">
        <v>2.2999999999999998</v>
      </c>
      <c r="N14" s="30">
        <v>0</v>
      </c>
      <c r="O14" s="30">
        <v>0</v>
      </c>
      <c r="P14" s="30">
        <v>0</v>
      </c>
      <c r="Q14" s="30">
        <v>0</v>
      </c>
      <c r="R14" s="16">
        <f t="shared" si="3"/>
        <v>2.2999999999999998</v>
      </c>
      <c r="S14" s="30">
        <f t="shared" si="2"/>
        <v>2.3E-2</v>
      </c>
      <c r="T14" s="71" t="s">
        <v>423</v>
      </c>
    </row>
    <row r="15" spans="1:21">
      <c r="A15" s="14" t="s">
        <v>201</v>
      </c>
      <c r="B15" t="s">
        <v>5</v>
      </c>
      <c r="C15" t="s">
        <v>6</v>
      </c>
      <c r="D15" t="s">
        <v>16</v>
      </c>
      <c r="E15" t="s">
        <v>15</v>
      </c>
      <c r="G15" s="90">
        <f t="shared" si="0"/>
        <v>23320000</v>
      </c>
      <c r="H15" s="1">
        <f>Sawnwood!F7</f>
        <v>23320</v>
      </c>
      <c r="I15" s="85" t="s">
        <v>467</v>
      </c>
      <c r="J15" t="s">
        <v>81</v>
      </c>
      <c r="K15" s="7">
        <v>22000</v>
      </c>
      <c r="L15" t="s">
        <v>58</v>
      </c>
      <c r="M15" s="30">
        <v>2.2999999999999998</v>
      </c>
      <c r="N15" s="30">
        <v>0</v>
      </c>
      <c r="O15" s="30">
        <v>0</v>
      </c>
      <c r="P15" s="30">
        <v>0</v>
      </c>
      <c r="Q15" s="30">
        <v>0</v>
      </c>
      <c r="R15" s="16">
        <f t="shared" si="3"/>
        <v>2.2999999999999998</v>
      </c>
      <c r="S15" s="30">
        <f t="shared" si="2"/>
        <v>2.3E-2</v>
      </c>
      <c r="T15" s="71" t="s">
        <v>423</v>
      </c>
    </row>
    <row r="16" spans="1:21">
      <c r="A16" s="14" t="s">
        <v>202</v>
      </c>
      <c r="B16" t="s">
        <v>5</v>
      </c>
      <c r="C16" t="s">
        <v>6</v>
      </c>
      <c r="D16" t="s">
        <v>17</v>
      </c>
      <c r="E16" t="s">
        <v>18</v>
      </c>
      <c r="G16" s="90">
        <f t="shared" si="0"/>
        <v>1389350000</v>
      </c>
      <c r="H16">
        <f>'Wood-panels'!F2</f>
        <v>1389350</v>
      </c>
      <c r="I16" s="85" t="s">
        <v>467</v>
      </c>
      <c r="J16" t="s">
        <v>81</v>
      </c>
      <c r="K16" s="7">
        <v>751000</v>
      </c>
      <c r="L16" t="s">
        <v>58</v>
      </c>
      <c r="M16" s="30">
        <v>2.2999999999999998</v>
      </c>
      <c r="N16" s="30">
        <v>0</v>
      </c>
      <c r="O16" s="30">
        <v>0</v>
      </c>
      <c r="P16" s="30">
        <v>0</v>
      </c>
      <c r="Q16" s="30">
        <v>0</v>
      </c>
      <c r="R16" s="16">
        <f t="shared" si="3"/>
        <v>2.2999999999999998</v>
      </c>
      <c r="S16" s="30">
        <f t="shared" si="2"/>
        <v>2.3E-2</v>
      </c>
      <c r="T16" s="71" t="s">
        <v>423</v>
      </c>
    </row>
    <row r="17" spans="1:20">
      <c r="A17" s="14" t="s">
        <v>203</v>
      </c>
      <c r="B17" t="s">
        <v>5</v>
      </c>
      <c r="C17" t="s">
        <v>6</v>
      </c>
      <c r="D17" t="s">
        <v>17</v>
      </c>
      <c r="E17" t="s">
        <v>19</v>
      </c>
      <c r="G17" s="90">
        <f t="shared" si="0"/>
        <v>3942100000</v>
      </c>
      <c r="H17">
        <f>'Wood-panels'!F3</f>
        <v>3942100</v>
      </c>
      <c r="I17" s="85" t="s">
        <v>467</v>
      </c>
      <c r="J17" t="s">
        <v>81</v>
      </c>
      <c r="K17" s="7">
        <v>2495000</v>
      </c>
      <c r="L17" t="s">
        <v>58</v>
      </c>
      <c r="M17" s="30">
        <v>2.2999999999999998</v>
      </c>
      <c r="N17" s="30">
        <v>0</v>
      </c>
      <c r="O17" s="30">
        <v>0</v>
      </c>
      <c r="P17" s="30">
        <v>0</v>
      </c>
      <c r="Q17" s="30">
        <v>0</v>
      </c>
      <c r="R17" s="16">
        <f t="shared" si="3"/>
        <v>2.2999999999999998</v>
      </c>
      <c r="S17" s="30">
        <f t="shared" si="2"/>
        <v>2.3E-2</v>
      </c>
      <c r="T17" s="71" t="s">
        <v>423</v>
      </c>
    </row>
    <row r="18" spans="1:20">
      <c r="A18" s="14" t="s">
        <v>204</v>
      </c>
      <c r="B18" t="s">
        <v>5</v>
      </c>
      <c r="C18" t="s">
        <v>6</v>
      </c>
      <c r="D18" t="s">
        <v>16</v>
      </c>
      <c r="E18" t="s">
        <v>18</v>
      </c>
      <c r="G18" s="90">
        <f t="shared" si="0"/>
        <v>114700000</v>
      </c>
      <c r="H18">
        <f>'Wood-panels'!F4</f>
        <v>114700</v>
      </c>
      <c r="I18" s="85" t="s">
        <v>467</v>
      </c>
      <c r="J18" t="s">
        <v>81</v>
      </c>
      <c r="K18" s="7">
        <v>62000</v>
      </c>
      <c r="L18" t="s">
        <v>58</v>
      </c>
      <c r="M18" s="30">
        <v>2.2999999999999998</v>
      </c>
      <c r="N18" s="30">
        <v>0</v>
      </c>
      <c r="O18" s="30">
        <v>0</v>
      </c>
      <c r="P18" s="30">
        <v>0</v>
      </c>
      <c r="Q18" s="30">
        <v>0</v>
      </c>
      <c r="R18" s="16">
        <f t="shared" si="3"/>
        <v>2.2999999999999998</v>
      </c>
      <c r="S18" s="30">
        <f t="shared" si="2"/>
        <v>2.3E-2</v>
      </c>
      <c r="T18" s="71" t="s">
        <v>423</v>
      </c>
    </row>
    <row r="19" spans="1:20">
      <c r="A19" s="14" t="s">
        <v>205</v>
      </c>
      <c r="B19" s="12" t="s">
        <v>5</v>
      </c>
      <c r="C19" s="12" t="s">
        <v>6</v>
      </c>
      <c r="D19" s="12" t="s">
        <v>16</v>
      </c>
      <c r="E19" s="12" t="s">
        <v>19</v>
      </c>
      <c r="F19" s="12"/>
      <c r="G19" s="90">
        <f t="shared" si="0"/>
        <v>369720000</v>
      </c>
      <c r="H19" s="12">
        <f>'Wood-panels'!F5</f>
        <v>369720</v>
      </c>
      <c r="I19" s="85" t="s">
        <v>467</v>
      </c>
      <c r="J19" s="12" t="s">
        <v>81</v>
      </c>
      <c r="K19" s="42">
        <v>234000</v>
      </c>
      <c r="L19" t="s">
        <v>58</v>
      </c>
      <c r="M19" s="30">
        <v>2.2999999999999998</v>
      </c>
      <c r="N19" s="30">
        <v>0</v>
      </c>
      <c r="O19" s="30">
        <v>0</v>
      </c>
      <c r="P19" s="30">
        <v>0</v>
      </c>
      <c r="Q19" s="30">
        <v>0</v>
      </c>
      <c r="R19" s="16">
        <f t="shared" si="3"/>
        <v>2.2999999999999998</v>
      </c>
      <c r="S19" s="30">
        <f t="shared" si="2"/>
        <v>2.3E-2</v>
      </c>
      <c r="T19" s="71" t="s">
        <v>423</v>
      </c>
    </row>
    <row r="20" spans="1:20">
      <c r="A20" s="14" t="s">
        <v>206</v>
      </c>
      <c r="B20" t="s">
        <v>5</v>
      </c>
      <c r="C20" t="s">
        <v>6</v>
      </c>
      <c r="D20" t="s">
        <v>7</v>
      </c>
      <c r="E20" t="s">
        <v>18</v>
      </c>
      <c r="G20" s="90">
        <f t="shared" si="0"/>
        <v>1653900000</v>
      </c>
      <c r="H20">
        <f>'Wood-panels'!F6</f>
        <v>1653900</v>
      </c>
      <c r="I20" s="85" t="s">
        <v>467</v>
      </c>
      <c r="J20" t="s">
        <v>81</v>
      </c>
      <c r="K20" s="7">
        <v>894000</v>
      </c>
      <c r="L20" t="s">
        <v>58</v>
      </c>
      <c r="M20" s="30">
        <v>2.2999999999999998</v>
      </c>
      <c r="N20" s="30">
        <v>0</v>
      </c>
      <c r="O20" s="30">
        <v>0</v>
      </c>
      <c r="P20" s="30">
        <v>0</v>
      </c>
      <c r="Q20" s="30">
        <v>0</v>
      </c>
      <c r="R20" s="16">
        <f t="shared" si="3"/>
        <v>2.2999999999999998</v>
      </c>
      <c r="S20" s="30">
        <f t="shared" si="2"/>
        <v>2.3E-2</v>
      </c>
      <c r="T20" s="71" t="s">
        <v>423</v>
      </c>
    </row>
    <row r="21" spans="1:20">
      <c r="A21" s="14" t="s">
        <v>207</v>
      </c>
      <c r="B21" t="s">
        <v>5</v>
      </c>
      <c r="C21" t="s">
        <v>6</v>
      </c>
      <c r="D21" t="s">
        <v>7</v>
      </c>
      <c r="E21" t="s">
        <v>19</v>
      </c>
      <c r="G21" s="90">
        <f t="shared" si="0"/>
        <v>2012920000</v>
      </c>
      <c r="H21">
        <f>'Wood-panels'!F7</f>
        <v>2012920</v>
      </c>
      <c r="I21" s="85" t="s">
        <v>467</v>
      </c>
      <c r="J21" t="s">
        <v>81</v>
      </c>
      <c r="K21" s="7">
        <v>1274000</v>
      </c>
      <c r="L21" t="s">
        <v>58</v>
      </c>
      <c r="M21" s="30">
        <v>2.2999999999999998</v>
      </c>
      <c r="N21" s="30">
        <v>0</v>
      </c>
      <c r="O21" s="30">
        <v>0</v>
      </c>
      <c r="P21" s="30">
        <v>0</v>
      </c>
      <c r="Q21" s="30">
        <v>0</v>
      </c>
      <c r="R21" s="16">
        <f t="shared" si="3"/>
        <v>2.2999999999999998</v>
      </c>
      <c r="S21" s="30">
        <f t="shared" si="2"/>
        <v>2.3E-2</v>
      </c>
      <c r="T21" s="71" t="s">
        <v>423</v>
      </c>
    </row>
    <row r="22" spans="1:20">
      <c r="A22" s="14" t="s">
        <v>208</v>
      </c>
      <c r="B22" t="s">
        <v>5</v>
      </c>
      <c r="C22" t="s">
        <v>6</v>
      </c>
      <c r="D22" t="s">
        <v>16</v>
      </c>
      <c r="E22" t="s">
        <v>20</v>
      </c>
      <c r="G22" s="90">
        <f t="shared" si="0"/>
        <v>2000000</v>
      </c>
      <c r="H22">
        <f>'Wood-panels'!F8</f>
        <v>2000</v>
      </c>
      <c r="I22" s="85" t="s">
        <v>467</v>
      </c>
      <c r="J22" t="s">
        <v>81</v>
      </c>
      <c r="K22" s="7">
        <v>2000</v>
      </c>
      <c r="L22" t="s">
        <v>58</v>
      </c>
      <c r="M22" s="30">
        <v>2.2999999999999998</v>
      </c>
      <c r="N22" s="30">
        <v>0</v>
      </c>
      <c r="O22" s="30">
        <v>0</v>
      </c>
      <c r="P22" s="30">
        <v>0</v>
      </c>
      <c r="Q22" s="30">
        <v>0</v>
      </c>
      <c r="R22" s="16">
        <f t="shared" si="3"/>
        <v>2.2999999999999998</v>
      </c>
      <c r="S22" s="30">
        <f t="shared" si="2"/>
        <v>2.3E-2</v>
      </c>
      <c r="T22" s="71" t="s">
        <v>423</v>
      </c>
    </row>
    <row r="23" spans="1:20">
      <c r="A23" s="14" t="s">
        <v>209</v>
      </c>
      <c r="B23" t="s">
        <v>5</v>
      </c>
      <c r="C23" t="s">
        <v>6</v>
      </c>
      <c r="D23" t="s">
        <v>7</v>
      </c>
      <c r="E23" t="s">
        <v>20</v>
      </c>
      <c r="G23" s="90">
        <f t="shared" si="0"/>
        <v>53000000</v>
      </c>
      <c r="H23">
        <f>'Wood-panels'!F9</f>
        <v>53000</v>
      </c>
      <c r="I23" s="85" t="s">
        <v>467</v>
      </c>
      <c r="J23" t="s">
        <v>81</v>
      </c>
      <c r="K23" s="7">
        <v>53000</v>
      </c>
      <c r="L23" t="s">
        <v>58</v>
      </c>
      <c r="M23" s="30">
        <v>2.2999999999999998</v>
      </c>
      <c r="N23" s="30">
        <v>0</v>
      </c>
      <c r="O23" s="30">
        <v>0</v>
      </c>
      <c r="P23" s="30">
        <v>0</v>
      </c>
      <c r="Q23" s="30">
        <v>0</v>
      </c>
      <c r="R23" s="16">
        <f t="shared" si="3"/>
        <v>2.2999999999999998</v>
      </c>
      <c r="S23" s="30">
        <f t="shared" si="2"/>
        <v>2.3E-2</v>
      </c>
      <c r="T23" s="71" t="s">
        <v>423</v>
      </c>
    </row>
    <row r="24" spans="1:20">
      <c r="A24" s="14" t="s">
        <v>210</v>
      </c>
      <c r="B24" t="s">
        <v>5</v>
      </c>
      <c r="C24" t="s">
        <v>6</v>
      </c>
      <c r="D24" t="s">
        <v>16</v>
      </c>
      <c r="E24" t="s">
        <v>21</v>
      </c>
      <c r="G24" s="90">
        <f t="shared" si="0"/>
        <v>84280000</v>
      </c>
      <c r="H24">
        <f>'Wood-panels'!F10</f>
        <v>84280</v>
      </c>
      <c r="I24" s="85" t="s">
        <v>467</v>
      </c>
      <c r="J24" t="s">
        <v>81</v>
      </c>
      <c r="K24" s="7">
        <v>86000</v>
      </c>
      <c r="L24" t="s">
        <v>58</v>
      </c>
      <c r="M24" s="30">
        <v>2.2999999999999998</v>
      </c>
      <c r="N24" s="30">
        <v>0</v>
      </c>
      <c r="O24" s="30">
        <v>0</v>
      </c>
      <c r="P24" s="30">
        <v>0</v>
      </c>
      <c r="Q24" s="30">
        <v>0</v>
      </c>
      <c r="R24" s="16">
        <f t="shared" si="3"/>
        <v>2.2999999999999998</v>
      </c>
      <c r="S24" s="30">
        <f t="shared" si="2"/>
        <v>2.3E-2</v>
      </c>
      <c r="T24" s="71" t="s">
        <v>423</v>
      </c>
    </row>
    <row r="25" spans="1:20">
      <c r="A25" s="14" t="s">
        <v>211</v>
      </c>
      <c r="B25" t="s">
        <v>5</v>
      </c>
      <c r="C25" t="s">
        <v>6</v>
      </c>
      <c r="D25" t="s">
        <v>7</v>
      </c>
      <c r="E25" t="s">
        <v>21</v>
      </c>
      <c r="G25" s="90">
        <f t="shared" si="0"/>
        <v>1423940000</v>
      </c>
      <c r="H25">
        <f>'Wood-panels'!F11</f>
        <v>1423940</v>
      </c>
      <c r="I25" s="85" t="s">
        <v>467</v>
      </c>
      <c r="J25" t="s">
        <v>81</v>
      </c>
      <c r="K25" s="7">
        <v>1453000</v>
      </c>
      <c r="L25" t="s">
        <v>58</v>
      </c>
      <c r="M25" s="30">
        <v>2.2999999999999998</v>
      </c>
      <c r="N25" s="30">
        <v>0</v>
      </c>
      <c r="O25" s="30">
        <v>0</v>
      </c>
      <c r="P25" s="30">
        <v>0</v>
      </c>
      <c r="Q25" s="30">
        <v>0</v>
      </c>
      <c r="R25" s="16">
        <f t="shared" si="3"/>
        <v>2.2999999999999998</v>
      </c>
      <c r="S25" s="30">
        <f t="shared" si="2"/>
        <v>2.3E-2</v>
      </c>
      <c r="T25" s="71" t="s">
        <v>423</v>
      </c>
    </row>
    <row r="26" spans="1:20">
      <c r="A26" s="14" t="s">
        <v>212</v>
      </c>
      <c r="B26" t="s">
        <v>5</v>
      </c>
      <c r="C26" t="s">
        <v>6</v>
      </c>
      <c r="D26" t="s">
        <v>10</v>
      </c>
      <c r="E26" t="s">
        <v>9</v>
      </c>
      <c r="F26" t="s">
        <v>413</v>
      </c>
      <c r="G26" s="90">
        <f t="shared" si="0"/>
        <v>245370370.37037036</v>
      </c>
      <c r="H26">
        <f>'Roundwood and other raw wood'!F4</f>
        <v>245370.37037037036</v>
      </c>
      <c r="I26" s="85" t="s">
        <v>467</v>
      </c>
      <c r="J26" t="s">
        <v>61</v>
      </c>
      <c r="K26" s="7">
        <v>265000</v>
      </c>
      <c r="L26" t="s">
        <v>76</v>
      </c>
      <c r="M26" s="53">
        <v>6.8</v>
      </c>
      <c r="N26" s="61">
        <v>13.7</v>
      </c>
      <c r="O26" s="30">
        <v>0</v>
      </c>
      <c r="P26" s="30">
        <v>0</v>
      </c>
      <c r="Q26" s="30">
        <v>0</v>
      </c>
      <c r="R26" s="16">
        <f t="shared" si="3"/>
        <v>15.294770348063418</v>
      </c>
      <c r="S26" s="30">
        <f t="shared" si="2"/>
        <v>0.15294770348063419</v>
      </c>
      <c r="T26" s="71" t="s">
        <v>424</v>
      </c>
    </row>
    <row r="27" spans="1:20">
      <c r="A27" s="14" t="s">
        <v>213</v>
      </c>
      <c r="B27" t="s">
        <v>5</v>
      </c>
      <c r="C27" t="s">
        <v>6</v>
      </c>
      <c r="D27" t="s">
        <v>10</v>
      </c>
      <c r="E27" t="s">
        <v>9</v>
      </c>
      <c r="F27" t="s">
        <v>380</v>
      </c>
      <c r="G27" s="90">
        <f t="shared" si="0"/>
        <v>544444444.44444454</v>
      </c>
      <c r="H27">
        <f>'Roundwood and other raw wood'!F5</f>
        <v>544444.4444444445</v>
      </c>
      <c r="I27" s="85" t="s">
        <v>467</v>
      </c>
      <c r="J27" t="s">
        <v>61</v>
      </c>
      <c r="K27" s="7">
        <v>588000</v>
      </c>
      <c r="L27" t="s">
        <v>76</v>
      </c>
      <c r="M27" s="20">
        <v>6.8</v>
      </c>
      <c r="N27" s="63">
        <v>13.7</v>
      </c>
      <c r="O27" s="30">
        <v>0</v>
      </c>
      <c r="P27" s="30">
        <v>0</v>
      </c>
      <c r="Q27" s="30">
        <v>0</v>
      </c>
      <c r="R27" s="16">
        <f t="shared" si="3"/>
        <v>15.294770348063418</v>
      </c>
      <c r="S27" s="30">
        <f t="shared" si="2"/>
        <v>0.15294770348063419</v>
      </c>
      <c r="T27" s="71" t="s">
        <v>424</v>
      </c>
    </row>
    <row r="28" spans="1:20">
      <c r="A28" s="14" t="s">
        <v>214</v>
      </c>
      <c r="B28" t="s">
        <v>5</v>
      </c>
      <c r="C28" t="s">
        <v>6</v>
      </c>
      <c r="D28" t="s">
        <v>10</v>
      </c>
      <c r="E28" t="s">
        <v>8</v>
      </c>
      <c r="F28" t="s">
        <v>381</v>
      </c>
      <c r="G28" s="90">
        <f t="shared" si="0"/>
        <v>648148148.14814818</v>
      </c>
      <c r="H28">
        <f>'Roundwood and other raw wood'!F6</f>
        <v>648148.1481481482</v>
      </c>
      <c r="I28" s="85" t="s">
        <v>467</v>
      </c>
      <c r="J28" t="s">
        <v>78</v>
      </c>
      <c r="K28" s="7">
        <v>700000</v>
      </c>
      <c r="L28" t="s">
        <v>76</v>
      </c>
      <c r="M28" s="30">
        <v>6.8</v>
      </c>
      <c r="N28" s="63">
        <v>13.7</v>
      </c>
      <c r="O28" s="30">
        <v>0</v>
      </c>
      <c r="P28" s="30">
        <v>0</v>
      </c>
      <c r="Q28" s="30">
        <v>0</v>
      </c>
      <c r="R28" s="16">
        <f t="shared" si="3"/>
        <v>15.294770348063418</v>
      </c>
      <c r="S28" s="30">
        <f t="shared" si="2"/>
        <v>0.15294770348063419</v>
      </c>
      <c r="T28" s="71" t="s">
        <v>424</v>
      </c>
    </row>
    <row r="29" spans="1:20">
      <c r="A29" s="14" t="s">
        <v>215</v>
      </c>
      <c r="B29" t="s">
        <v>5</v>
      </c>
      <c r="C29" t="s">
        <v>6</v>
      </c>
      <c r="D29" t="s">
        <v>10</v>
      </c>
      <c r="E29" t="s">
        <v>9</v>
      </c>
      <c r="F29" t="s">
        <v>414</v>
      </c>
      <c r="G29" s="90">
        <f t="shared" si="0"/>
        <v>1221296296.2962964</v>
      </c>
      <c r="H29">
        <f>'Roundwood and other raw wood'!F7</f>
        <v>1221296.2962962964</v>
      </c>
      <c r="I29" s="85" t="s">
        <v>467</v>
      </c>
      <c r="J29" t="s">
        <v>61</v>
      </c>
      <c r="K29" s="7">
        <v>1319000</v>
      </c>
      <c r="L29" t="s">
        <v>76</v>
      </c>
      <c r="M29" s="30">
        <v>6.8</v>
      </c>
      <c r="N29" s="63">
        <v>0</v>
      </c>
      <c r="O29" s="30">
        <v>0</v>
      </c>
      <c r="P29" s="30">
        <v>0</v>
      </c>
      <c r="Q29" s="30">
        <v>0</v>
      </c>
      <c r="R29" s="16">
        <f t="shared" si="3"/>
        <v>6.8</v>
      </c>
      <c r="S29" s="30">
        <f t="shared" si="2"/>
        <v>6.8000000000000005E-2</v>
      </c>
      <c r="T29" s="71"/>
    </row>
    <row r="30" spans="1:20">
      <c r="A30" s="14" t="s">
        <v>216</v>
      </c>
      <c r="B30" t="s">
        <v>5</v>
      </c>
      <c r="C30" t="s">
        <v>6</v>
      </c>
      <c r="D30" t="s">
        <v>10</v>
      </c>
      <c r="E30" t="s">
        <v>24</v>
      </c>
      <c r="F30" s="52" t="s">
        <v>350</v>
      </c>
      <c r="G30" s="90">
        <f t="shared" si="0"/>
        <v>1359259259.2592592</v>
      </c>
      <c r="H30">
        <f>'By-products '!F2</f>
        <v>1359259.2592592593</v>
      </c>
      <c r="I30" s="85" t="s">
        <v>467</v>
      </c>
      <c r="J30" t="s">
        <v>86</v>
      </c>
      <c r="K30" s="7">
        <v>1468000</v>
      </c>
      <c r="L30" t="s">
        <v>77</v>
      </c>
      <c r="M30" s="30">
        <v>6.8</v>
      </c>
      <c r="N30" s="63">
        <v>0</v>
      </c>
      <c r="O30" s="30">
        <v>0</v>
      </c>
      <c r="P30" s="30">
        <v>0</v>
      </c>
      <c r="Q30" s="30">
        <v>0</v>
      </c>
      <c r="R30" s="16">
        <f t="shared" si="3"/>
        <v>6.8</v>
      </c>
      <c r="S30" s="30">
        <f t="shared" si="2"/>
        <v>6.8000000000000005E-2</v>
      </c>
      <c r="T30" s="71"/>
    </row>
    <row r="31" spans="1:20">
      <c r="A31" s="14" t="s">
        <v>217</v>
      </c>
      <c r="B31" t="s">
        <v>5</v>
      </c>
      <c r="C31" t="s">
        <v>6</v>
      </c>
      <c r="D31" t="s">
        <v>10</v>
      </c>
      <c r="E31" t="s">
        <v>25</v>
      </c>
      <c r="F31" s="52" t="s">
        <v>351</v>
      </c>
      <c r="G31" s="90">
        <f t="shared" si="0"/>
        <v>911111111.11111116</v>
      </c>
      <c r="H31" s="20">
        <f>'By-products '!F3</f>
        <v>911111.11111111112</v>
      </c>
      <c r="I31" s="85" t="s">
        <v>467</v>
      </c>
      <c r="J31" t="s">
        <v>86</v>
      </c>
      <c r="K31" s="7">
        <v>984000</v>
      </c>
      <c r="L31" t="s">
        <v>77</v>
      </c>
      <c r="M31" s="30">
        <v>6.8</v>
      </c>
      <c r="N31" s="63">
        <v>0</v>
      </c>
      <c r="O31" s="30">
        <v>0</v>
      </c>
      <c r="P31" s="30">
        <v>0</v>
      </c>
      <c r="Q31" s="30">
        <v>0</v>
      </c>
      <c r="R31" s="16">
        <f t="shared" si="3"/>
        <v>6.8</v>
      </c>
      <c r="S31" s="30">
        <f t="shared" si="2"/>
        <v>6.8000000000000005E-2</v>
      </c>
      <c r="T31" s="71"/>
    </row>
    <row r="32" spans="1:20">
      <c r="A32" s="14" t="s">
        <v>218</v>
      </c>
      <c r="B32" t="s">
        <v>5</v>
      </c>
      <c r="C32" t="s">
        <v>6</v>
      </c>
      <c r="D32" t="s">
        <v>7</v>
      </c>
      <c r="E32" t="s">
        <v>26</v>
      </c>
      <c r="G32" s="90">
        <f t="shared" si="0"/>
        <v>7476820000</v>
      </c>
      <c r="H32" s="1">
        <f>'Pulp and Paper'!F2</f>
        <v>7476820</v>
      </c>
      <c r="I32" s="85" t="s">
        <v>467</v>
      </c>
      <c r="J32" t="s">
        <v>81</v>
      </c>
      <c r="K32" s="7">
        <v>2509</v>
      </c>
      <c r="L32" t="s">
        <v>80</v>
      </c>
      <c r="M32" s="30">
        <v>2.2999999999999998</v>
      </c>
      <c r="N32" s="30">
        <v>0</v>
      </c>
      <c r="O32" s="30">
        <v>0</v>
      </c>
      <c r="P32" s="30">
        <v>0</v>
      </c>
      <c r="Q32" s="30">
        <v>0</v>
      </c>
      <c r="R32" s="16">
        <f t="shared" si="3"/>
        <v>2.2999999999999998</v>
      </c>
      <c r="S32" s="30">
        <f t="shared" si="2"/>
        <v>2.3E-2</v>
      </c>
      <c r="T32" s="71" t="s">
        <v>423</v>
      </c>
    </row>
    <row r="33" spans="1:20">
      <c r="A33" s="14" t="s">
        <v>219</v>
      </c>
      <c r="B33" t="s">
        <v>5</v>
      </c>
      <c r="C33" t="s">
        <v>6</v>
      </c>
      <c r="D33" t="s">
        <v>7</v>
      </c>
      <c r="E33" t="s">
        <v>27</v>
      </c>
      <c r="G33" s="90">
        <f t="shared" si="0"/>
        <v>1345900000</v>
      </c>
      <c r="H33" s="1">
        <f>'Pulp and Paper'!F3</f>
        <v>1345900</v>
      </c>
      <c r="I33" s="85" t="s">
        <v>467</v>
      </c>
      <c r="J33" t="s">
        <v>81</v>
      </c>
      <c r="K33" s="7">
        <v>313</v>
      </c>
      <c r="L33" t="s">
        <v>80</v>
      </c>
      <c r="M33" s="30">
        <v>2.2999999999999998</v>
      </c>
      <c r="N33" s="30">
        <v>0</v>
      </c>
      <c r="O33" s="30">
        <v>0</v>
      </c>
      <c r="P33" s="30">
        <v>0</v>
      </c>
      <c r="Q33" s="30">
        <v>0</v>
      </c>
      <c r="R33" s="16">
        <f t="shared" si="3"/>
        <v>2.2999999999999998</v>
      </c>
      <c r="S33" s="30">
        <f t="shared" si="2"/>
        <v>2.3E-2</v>
      </c>
      <c r="T33" s="71" t="s">
        <v>423</v>
      </c>
    </row>
    <row r="34" spans="1:20">
      <c r="A34" s="14" t="s">
        <v>220</v>
      </c>
      <c r="B34" t="s">
        <v>5</v>
      </c>
      <c r="C34" t="s">
        <v>6</v>
      </c>
      <c r="D34" t="s">
        <v>7</v>
      </c>
      <c r="E34" t="s">
        <v>28</v>
      </c>
      <c r="G34" s="90">
        <f t="shared" si="0"/>
        <v>8455860000</v>
      </c>
      <c r="H34" s="1">
        <f>'Pulp and Paper'!F4</f>
        <v>8455860</v>
      </c>
      <c r="I34" s="85" t="s">
        <v>467</v>
      </c>
      <c r="J34" t="s">
        <v>81</v>
      </c>
      <c r="K34" s="7">
        <v>2237</v>
      </c>
      <c r="L34" t="s">
        <v>80</v>
      </c>
      <c r="M34" s="30">
        <v>2.2999999999999998</v>
      </c>
      <c r="N34" s="30">
        <v>0</v>
      </c>
      <c r="O34" s="30">
        <v>0</v>
      </c>
      <c r="P34" s="30">
        <v>0</v>
      </c>
      <c r="Q34" s="30">
        <v>0</v>
      </c>
      <c r="R34" s="16">
        <f t="shared" si="3"/>
        <v>2.2999999999999998</v>
      </c>
      <c r="S34" s="30">
        <f t="shared" si="2"/>
        <v>2.3E-2</v>
      </c>
      <c r="T34" s="71" t="s">
        <v>423</v>
      </c>
    </row>
    <row r="35" spans="1:20">
      <c r="A35" s="14" t="s">
        <v>221</v>
      </c>
      <c r="B35" t="s">
        <v>5</v>
      </c>
      <c r="C35" t="s">
        <v>6</v>
      </c>
      <c r="D35" t="s">
        <v>7</v>
      </c>
      <c r="E35" t="s">
        <v>29</v>
      </c>
      <c r="G35" s="90">
        <f t="shared" si="0"/>
        <v>425700000</v>
      </c>
      <c r="H35" s="1">
        <f>'Pulp and Paper'!F5</f>
        <v>425700</v>
      </c>
      <c r="I35" s="85" t="s">
        <v>467</v>
      </c>
      <c r="J35" t="s">
        <v>81</v>
      </c>
      <c r="K35" s="7">
        <v>129</v>
      </c>
      <c r="L35" t="s">
        <v>80</v>
      </c>
      <c r="M35" s="30">
        <v>2.2999999999999998</v>
      </c>
      <c r="N35" s="30">
        <v>0</v>
      </c>
      <c r="O35" s="30">
        <v>0</v>
      </c>
      <c r="P35" s="30">
        <v>0</v>
      </c>
      <c r="Q35" s="30">
        <v>0</v>
      </c>
      <c r="R35" s="16">
        <f t="shared" si="3"/>
        <v>2.2999999999999998</v>
      </c>
      <c r="S35" s="30">
        <f t="shared" si="2"/>
        <v>2.3E-2</v>
      </c>
      <c r="T35" s="71" t="s">
        <v>423</v>
      </c>
    </row>
    <row r="36" spans="1:20">
      <c r="A36" s="14" t="s">
        <v>222</v>
      </c>
      <c r="B36" t="s">
        <v>5</v>
      </c>
      <c r="C36" t="s">
        <v>6</v>
      </c>
      <c r="D36" t="s">
        <v>16</v>
      </c>
      <c r="E36" t="s">
        <v>26</v>
      </c>
      <c r="G36" s="90">
        <f t="shared" si="0"/>
        <v>1048960000</v>
      </c>
      <c r="H36" s="1">
        <f>'Pulp and Paper'!F6</f>
        <v>1048960</v>
      </c>
      <c r="I36" s="85" t="s">
        <v>467</v>
      </c>
      <c r="J36" t="s">
        <v>81</v>
      </c>
      <c r="K36" s="7">
        <v>352</v>
      </c>
      <c r="L36" t="s">
        <v>80</v>
      </c>
      <c r="M36" s="30">
        <v>2.2999999999999998</v>
      </c>
      <c r="N36" s="30">
        <v>0</v>
      </c>
      <c r="O36" s="30">
        <v>0</v>
      </c>
      <c r="P36" s="30">
        <v>0</v>
      </c>
      <c r="Q36" s="30">
        <v>0</v>
      </c>
      <c r="R36" s="16">
        <f t="shared" si="3"/>
        <v>2.2999999999999998</v>
      </c>
      <c r="S36" s="30">
        <f t="shared" si="2"/>
        <v>2.3E-2</v>
      </c>
      <c r="T36" s="71" t="s">
        <v>423</v>
      </c>
    </row>
    <row r="37" spans="1:20">
      <c r="A37" s="14" t="s">
        <v>223</v>
      </c>
      <c r="B37" t="s">
        <v>5</v>
      </c>
      <c r="C37" t="s">
        <v>6</v>
      </c>
      <c r="D37" t="s">
        <v>16</v>
      </c>
      <c r="E37" t="s">
        <v>27</v>
      </c>
      <c r="G37" s="90">
        <f t="shared" si="0"/>
        <v>30100000</v>
      </c>
      <c r="H37" s="1">
        <f>'Pulp and Paper'!F7</f>
        <v>30100</v>
      </c>
      <c r="I37" s="85" t="s">
        <v>467</v>
      </c>
      <c r="J37" t="s">
        <v>81</v>
      </c>
      <c r="K37" s="7">
        <v>7</v>
      </c>
      <c r="L37" t="s">
        <v>80</v>
      </c>
      <c r="M37" s="30">
        <v>2.2999999999999998</v>
      </c>
      <c r="N37" s="30">
        <v>0</v>
      </c>
      <c r="O37" s="30">
        <v>0</v>
      </c>
      <c r="P37" s="30">
        <v>0</v>
      </c>
      <c r="Q37" s="30">
        <v>0</v>
      </c>
      <c r="R37" s="16">
        <f t="shared" si="3"/>
        <v>2.2999999999999998</v>
      </c>
      <c r="S37" s="30">
        <f t="shared" si="2"/>
        <v>2.3E-2</v>
      </c>
      <c r="T37" s="71" t="s">
        <v>423</v>
      </c>
    </row>
    <row r="38" spans="1:20">
      <c r="A38" s="14" t="s">
        <v>224</v>
      </c>
      <c r="B38" t="s">
        <v>5</v>
      </c>
      <c r="C38" t="s">
        <v>6</v>
      </c>
      <c r="D38" t="s">
        <v>16</v>
      </c>
      <c r="E38" t="s">
        <v>28</v>
      </c>
      <c r="G38" s="90">
        <f t="shared" si="0"/>
        <v>1270080000</v>
      </c>
      <c r="H38" s="1">
        <f>'Pulp and Paper'!F8</f>
        <v>1270080</v>
      </c>
      <c r="I38" s="85" t="s">
        <v>467</v>
      </c>
      <c r="J38" t="s">
        <v>81</v>
      </c>
      <c r="K38" s="7">
        <v>336</v>
      </c>
      <c r="L38" t="s">
        <v>80</v>
      </c>
      <c r="M38" s="30">
        <v>2.2999999999999998</v>
      </c>
      <c r="N38" s="30">
        <v>0</v>
      </c>
      <c r="O38" s="30">
        <v>0</v>
      </c>
      <c r="P38" s="30">
        <v>0</v>
      </c>
      <c r="Q38" s="30">
        <v>0</v>
      </c>
      <c r="R38" s="16">
        <f t="shared" si="3"/>
        <v>2.2999999999999998</v>
      </c>
      <c r="S38" s="30">
        <f t="shared" si="2"/>
        <v>2.3E-2</v>
      </c>
      <c r="T38" s="71" t="s">
        <v>423</v>
      </c>
    </row>
    <row r="39" spans="1:20">
      <c r="A39" s="14" t="s">
        <v>225</v>
      </c>
      <c r="B39" t="s">
        <v>5</v>
      </c>
      <c r="C39" t="s">
        <v>6</v>
      </c>
      <c r="D39" t="s">
        <v>7</v>
      </c>
      <c r="E39" t="s">
        <v>30</v>
      </c>
      <c r="G39" s="90">
        <f t="shared" si="0"/>
        <v>3318900000</v>
      </c>
      <c r="H39" s="1">
        <f>'Pulp and Paper'!F9</f>
        <v>3318900</v>
      </c>
      <c r="I39" s="85" t="s">
        <v>467</v>
      </c>
      <c r="J39" t="s">
        <v>82</v>
      </c>
      <c r="K39" s="7">
        <v>897</v>
      </c>
      <c r="L39" t="s">
        <v>80</v>
      </c>
      <c r="M39" s="30">
        <v>2.2999999999999998</v>
      </c>
      <c r="N39" s="30">
        <v>0</v>
      </c>
      <c r="O39" s="30">
        <v>0</v>
      </c>
      <c r="P39" s="30">
        <v>0</v>
      </c>
      <c r="Q39" s="30">
        <v>0</v>
      </c>
      <c r="R39" s="16">
        <f t="shared" si="3"/>
        <v>2.2999999999999998</v>
      </c>
      <c r="S39" s="30">
        <f t="shared" si="2"/>
        <v>2.3E-2</v>
      </c>
      <c r="T39" s="71" t="s">
        <v>423</v>
      </c>
    </row>
    <row r="40" spans="1:20">
      <c r="A40" s="14" t="s">
        <v>226</v>
      </c>
      <c r="B40" t="s">
        <v>5</v>
      </c>
      <c r="C40" t="s">
        <v>6</v>
      </c>
      <c r="D40" t="s">
        <v>16</v>
      </c>
      <c r="E40" t="s">
        <v>30</v>
      </c>
      <c r="G40" s="90">
        <f t="shared" si="0"/>
        <v>33300000</v>
      </c>
      <c r="H40" s="1">
        <f>'Pulp and Paper'!F10</f>
        <v>33300</v>
      </c>
      <c r="I40" s="85" t="s">
        <v>467</v>
      </c>
      <c r="J40" t="s">
        <v>83</v>
      </c>
      <c r="K40" s="7">
        <v>9</v>
      </c>
      <c r="L40" t="s">
        <v>80</v>
      </c>
      <c r="M40" s="30">
        <v>2.2999999999999998</v>
      </c>
      <c r="N40" s="30">
        <v>0</v>
      </c>
      <c r="O40" s="9">
        <v>0</v>
      </c>
      <c r="P40" s="9">
        <v>0</v>
      </c>
      <c r="Q40" s="30">
        <v>0</v>
      </c>
      <c r="R40" s="16">
        <f t="shared" si="3"/>
        <v>2.2999999999999998</v>
      </c>
      <c r="S40" s="30">
        <f t="shared" si="2"/>
        <v>2.3E-2</v>
      </c>
      <c r="T40" s="71" t="s">
        <v>423</v>
      </c>
    </row>
    <row r="41" spans="1:20">
      <c r="A41" s="14" t="s">
        <v>227</v>
      </c>
      <c r="B41" t="s">
        <v>5</v>
      </c>
      <c r="C41" t="s">
        <v>6</v>
      </c>
      <c r="D41" t="s">
        <v>10</v>
      </c>
      <c r="E41" t="s">
        <v>14</v>
      </c>
      <c r="F41" t="s">
        <v>415</v>
      </c>
      <c r="G41" s="90">
        <f t="shared" si="0"/>
        <v>1337402000</v>
      </c>
      <c r="H41">
        <f>H6*0.37</f>
        <v>1337402</v>
      </c>
      <c r="I41" s="85" t="s">
        <v>467</v>
      </c>
      <c r="J41" t="s">
        <v>84</v>
      </c>
      <c r="K41" s="44">
        <v>37</v>
      </c>
      <c r="L41" t="s">
        <v>348</v>
      </c>
      <c r="M41" s="30">
        <v>2.2999999999999998</v>
      </c>
      <c r="N41" s="61">
        <v>13.7</v>
      </c>
      <c r="O41" s="9">
        <v>0</v>
      </c>
      <c r="P41" s="9">
        <v>0</v>
      </c>
      <c r="Q41" s="20">
        <v>0</v>
      </c>
      <c r="R41" s="16">
        <f t="shared" si="3"/>
        <v>13.891724155050012</v>
      </c>
      <c r="S41" s="30">
        <f t="shared" si="2"/>
        <v>0.13891724155050011</v>
      </c>
      <c r="T41" s="71" t="s">
        <v>425</v>
      </c>
    </row>
    <row r="42" spans="1:20">
      <c r="A42" s="14" t="s">
        <v>228</v>
      </c>
      <c r="B42" t="s">
        <v>5</v>
      </c>
      <c r="C42" t="s">
        <v>6</v>
      </c>
      <c r="D42" t="s">
        <v>17</v>
      </c>
      <c r="E42" t="s">
        <v>26</v>
      </c>
      <c r="G42" s="90">
        <f t="shared" si="0"/>
        <v>2735640000</v>
      </c>
      <c r="H42" s="1">
        <f>'Pulp and Paper'!F11</f>
        <v>2735640</v>
      </c>
      <c r="I42" s="85" t="s">
        <v>467</v>
      </c>
      <c r="J42" t="s">
        <v>81</v>
      </c>
      <c r="K42" s="7">
        <v>918</v>
      </c>
      <c r="L42" t="s">
        <v>80</v>
      </c>
      <c r="M42" s="30">
        <v>2.2999999999999998</v>
      </c>
      <c r="N42" s="30">
        <v>0</v>
      </c>
      <c r="O42" s="9">
        <v>0</v>
      </c>
      <c r="P42" s="9">
        <v>0</v>
      </c>
      <c r="Q42" s="30">
        <v>0</v>
      </c>
      <c r="R42" s="16">
        <f t="shared" si="3"/>
        <v>2.2999999999999998</v>
      </c>
      <c r="S42" s="30">
        <f t="shared" si="2"/>
        <v>2.3E-2</v>
      </c>
      <c r="T42" s="71" t="s">
        <v>423</v>
      </c>
    </row>
    <row r="43" spans="1:20">
      <c r="A43" s="14" t="s">
        <v>229</v>
      </c>
      <c r="B43" t="s">
        <v>5</v>
      </c>
      <c r="C43" t="s">
        <v>6</v>
      </c>
      <c r="D43" t="s">
        <v>17</v>
      </c>
      <c r="E43" t="s">
        <v>27</v>
      </c>
      <c r="G43" s="90">
        <f t="shared" si="0"/>
        <v>3276600000</v>
      </c>
      <c r="H43" s="1">
        <f>'Pulp and Paper'!F12</f>
        <v>3276600</v>
      </c>
      <c r="I43" s="85" t="s">
        <v>467</v>
      </c>
      <c r="J43" t="s">
        <v>81</v>
      </c>
      <c r="K43" s="7">
        <v>762</v>
      </c>
      <c r="L43" t="s">
        <v>80</v>
      </c>
      <c r="M43" s="30">
        <v>2.2999999999999998</v>
      </c>
      <c r="N43" s="30">
        <v>0</v>
      </c>
      <c r="O43" s="9">
        <v>0</v>
      </c>
      <c r="P43" s="9">
        <v>0</v>
      </c>
      <c r="Q43" s="30">
        <v>0</v>
      </c>
      <c r="R43" s="16">
        <f t="shared" si="3"/>
        <v>2.2999999999999998</v>
      </c>
      <c r="S43" s="30">
        <f t="shared" si="2"/>
        <v>2.3E-2</v>
      </c>
      <c r="T43" s="71" t="s">
        <v>423</v>
      </c>
    </row>
    <row r="44" spans="1:20">
      <c r="A44" s="14" t="s">
        <v>230</v>
      </c>
      <c r="B44" t="s">
        <v>5</v>
      </c>
      <c r="C44" t="s">
        <v>6</v>
      </c>
      <c r="D44" t="s">
        <v>17</v>
      </c>
      <c r="E44" t="s">
        <v>28</v>
      </c>
      <c r="G44" s="90">
        <f t="shared" si="0"/>
        <v>7121520000</v>
      </c>
      <c r="H44" s="1">
        <f>'Pulp and Paper'!F13</f>
        <v>7121520</v>
      </c>
      <c r="I44" s="85" t="s">
        <v>467</v>
      </c>
      <c r="J44" t="s">
        <v>81</v>
      </c>
      <c r="K44" s="7">
        <v>1884</v>
      </c>
      <c r="L44" t="s">
        <v>80</v>
      </c>
      <c r="M44" s="30">
        <v>2.2999999999999998</v>
      </c>
      <c r="N44" s="30">
        <v>0</v>
      </c>
      <c r="O44" s="9">
        <v>0</v>
      </c>
      <c r="P44" s="9">
        <v>0</v>
      </c>
      <c r="Q44" s="30">
        <v>0</v>
      </c>
      <c r="R44" s="16">
        <f t="shared" si="3"/>
        <v>2.2999999999999998</v>
      </c>
      <c r="S44" s="30">
        <f t="shared" si="2"/>
        <v>2.3E-2</v>
      </c>
      <c r="T44" s="71" t="s">
        <v>423</v>
      </c>
    </row>
    <row r="45" spans="1:20">
      <c r="A45" s="14" t="s">
        <v>231</v>
      </c>
      <c r="B45" t="s">
        <v>5</v>
      </c>
      <c r="C45" t="s">
        <v>6</v>
      </c>
      <c r="D45" t="s">
        <v>17</v>
      </c>
      <c r="E45" t="s">
        <v>29</v>
      </c>
      <c r="G45" s="90">
        <f t="shared" si="0"/>
        <v>947100000</v>
      </c>
      <c r="H45" s="1">
        <f>'Pulp and Paper'!F14</f>
        <v>947100</v>
      </c>
      <c r="I45" s="85" t="s">
        <v>467</v>
      </c>
      <c r="J45" t="s">
        <v>81</v>
      </c>
      <c r="K45" s="7">
        <v>287</v>
      </c>
      <c r="L45" t="s">
        <v>80</v>
      </c>
      <c r="M45" s="30">
        <v>2.2999999999999998</v>
      </c>
      <c r="N45" s="30">
        <v>0</v>
      </c>
      <c r="O45" s="9">
        <v>0</v>
      </c>
      <c r="P45" s="9">
        <v>0</v>
      </c>
      <c r="Q45" s="30">
        <v>0</v>
      </c>
      <c r="R45" s="16">
        <f t="shared" si="3"/>
        <v>2.2999999999999998</v>
      </c>
      <c r="S45" s="30">
        <f t="shared" si="2"/>
        <v>2.3E-2</v>
      </c>
      <c r="T45" s="71" t="s">
        <v>423</v>
      </c>
    </row>
    <row r="46" spans="1:20">
      <c r="A46" s="14" t="s">
        <v>232</v>
      </c>
      <c r="B46" t="s">
        <v>5</v>
      </c>
      <c r="C46" t="s">
        <v>6</v>
      </c>
      <c r="D46" t="s">
        <v>7</v>
      </c>
      <c r="E46" t="s">
        <v>31</v>
      </c>
      <c r="G46" s="90">
        <f t="shared" si="0"/>
        <v>19975500000</v>
      </c>
      <c r="H46">
        <f>'Wood pellets'!E2</f>
        <v>19975500</v>
      </c>
      <c r="I46" s="85" t="s">
        <v>467</v>
      </c>
      <c r="J46" t="s">
        <v>369</v>
      </c>
      <c r="K46" s="7">
        <v>8878</v>
      </c>
      <c r="L46" t="s">
        <v>80</v>
      </c>
      <c r="M46" s="30">
        <v>2.2999999999999998</v>
      </c>
      <c r="N46" s="30">
        <v>0</v>
      </c>
      <c r="O46" s="9">
        <v>0</v>
      </c>
      <c r="P46" s="9">
        <v>0</v>
      </c>
      <c r="Q46" s="30">
        <v>0</v>
      </c>
      <c r="R46" s="16">
        <f t="shared" si="3"/>
        <v>2.2999999999999998</v>
      </c>
      <c r="S46" s="30">
        <f t="shared" si="2"/>
        <v>2.3E-2</v>
      </c>
      <c r="T46" s="71" t="s">
        <v>423</v>
      </c>
    </row>
    <row r="47" spans="1:20">
      <c r="A47" s="14" t="s">
        <v>233</v>
      </c>
      <c r="B47" t="s">
        <v>5</v>
      </c>
      <c r="C47" t="s">
        <v>6</v>
      </c>
      <c r="D47" t="s">
        <v>17</v>
      </c>
      <c r="E47" t="s">
        <v>31</v>
      </c>
      <c r="G47" s="90">
        <f t="shared" si="0"/>
        <v>670500000</v>
      </c>
      <c r="H47">
        <f>'Wood pellets'!E4</f>
        <v>670500</v>
      </c>
      <c r="I47" s="85" t="s">
        <v>467</v>
      </c>
      <c r="J47" t="s">
        <v>341</v>
      </c>
      <c r="K47" s="7"/>
      <c r="M47" s="30">
        <v>2.2999999999999998</v>
      </c>
      <c r="N47" s="61">
        <v>0</v>
      </c>
      <c r="O47" s="9">
        <v>0</v>
      </c>
      <c r="P47" s="9">
        <v>0</v>
      </c>
      <c r="Q47" s="30">
        <v>0</v>
      </c>
      <c r="R47" s="16">
        <f t="shared" si="3"/>
        <v>2.2999999999999998</v>
      </c>
      <c r="S47" s="30">
        <f t="shared" si="2"/>
        <v>2.3E-2</v>
      </c>
      <c r="T47" s="71" t="s">
        <v>426</v>
      </c>
    </row>
    <row r="48" spans="1:20">
      <c r="A48" s="14" t="s">
        <v>234</v>
      </c>
      <c r="B48" t="s">
        <v>5</v>
      </c>
      <c r="C48" t="s">
        <v>6</v>
      </c>
      <c r="D48" t="s">
        <v>10</v>
      </c>
      <c r="E48" t="s">
        <v>24</v>
      </c>
      <c r="F48" t="s">
        <v>184</v>
      </c>
      <c r="G48" s="90">
        <f t="shared" si="0"/>
        <v>56481481.481481485</v>
      </c>
      <c r="H48">
        <f>'By-products '!F4</f>
        <v>56481.481481481482</v>
      </c>
      <c r="I48" s="85" t="s">
        <v>467</v>
      </c>
      <c r="J48" t="s">
        <v>85</v>
      </c>
      <c r="K48" s="7">
        <v>61000</v>
      </c>
      <c r="L48" t="s">
        <v>76</v>
      </c>
      <c r="M48" s="30">
        <v>6.8</v>
      </c>
      <c r="N48" s="61">
        <v>0</v>
      </c>
      <c r="O48" s="9">
        <v>0</v>
      </c>
      <c r="P48" s="9">
        <v>0</v>
      </c>
      <c r="Q48" s="30">
        <v>0</v>
      </c>
      <c r="R48" s="16">
        <f t="shared" si="3"/>
        <v>6.8</v>
      </c>
      <c r="S48" s="30">
        <f t="shared" si="2"/>
        <v>6.8000000000000005E-2</v>
      </c>
      <c r="T48" s="71" t="s">
        <v>428</v>
      </c>
    </row>
    <row r="49" spans="1:20">
      <c r="A49" s="14" t="s">
        <v>235</v>
      </c>
      <c r="B49" t="s">
        <v>5</v>
      </c>
      <c r="C49" t="s">
        <v>6</v>
      </c>
      <c r="D49" t="s">
        <v>10</v>
      </c>
      <c r="E49" t="s">
        <v>24</v>
      </c>
      <c r="F49" t="s">
        <v>472</v>
      </c>
      <c r="G49" s="90">
        <f t="shared" si="0"/>
        <v>3300310000</v>
      </c>
      <c r="H49">
        <f>'By-products '!F17</f>
        <v>3300310</v>
      </c>
      <c r="I49" s="85" t="s">
        <v>467</v>
      </c>
      <c r="J49" t="s">
        <v>141</v>
      </c>
      <c r="K49" s="7">
        <v>20</v>
      </c>
      <c r="L49" t="s">
        <v>349</v>
      </c>
      <c r="M49" s="30">
        <v>6.8</v>
      </c>
      <c r="N49" s="61">
        <v>13.7</v>
      </c>
      <c r="O49" s="9">
        <v>0</v>
      </c>
      <c r="P49" s="9">
        <v>0</v>
      </c>
      <c r="Q49" s="30">
        <v>0</v>
      </c>
      <c r="R49" s="16">
        <f t="shared" si="3"/>
        <v>15.294770348063418</v>
      </c>
      <c r="S49" s="30">
        <f t="shared" si="2"/>
        <v>0.15294770348063419</v>
      </c>
      <c r="T49" t="s">
        <v>429</v>
      </c>
    </row>
    <row r="50" spans="1:20">
      <c r="A50" s="14" t="s">
        <v>236</v>
      </c>
      <c r="B50" t="s">
        <v>5</v>
      </c>
      <c r="C50" t="s">
        <v>6</v>
      </c>
      <c r="D50" t="s">
        <v>10</v>
      </c>
      <c r="E50" t="s">
        <v>24</v>
      </c>
      <c r="F50" t="s">
        <v>334</v>
      </c>
      <c r="G50" s="90">
        <f t="shared" si="0"/>
        <v>563169164.88222694</v>
      </c>
      <c r="H50" s="20">
        <f>'By-products '!F11</f>
        <v>563169.16488222696</v>
      </c>
      <c r="I50" s="85" t="s">
        <v>467</v>
      </c>
      <c r="J50" t="s">
        <v>88</v>
      </c>
      <c r="K50" s="7">
        <v>263000</v>
      </c>
      <c r="L50" t="s">
        <v>80</v>
      </c>
      <c r="M50" s="53">
        <v>6.8</v>
      </c>
      <c r="N50" s="61">
        <v>13.7</v>
      </c>
      <c r="O50" s="9">
        <v>0</v>
      </c>
      <c r="P50" s="9">
        <v>0</v>
      </c>
      <c r="Q50" s="30">
        <v>0</v>
      </c>
      <c r="R50" s="16">
        <f t="shared" si="3"/>
        <v>15.294770348063418</v>
      </c>
      <c r="S50" s="30">
        <f t="shared" si="2"/>
        <v>0.15294770348063419</v>
      </c>
      <c r="T50" t="s">
        <v>430</v>
      </c>
    </row>
    <row r="51" spans="1:20">
      <c r="A51" s="14" t="s">
        <v>237</v>
      </c>
      <c r="B51" t="s">
        <v>5</v>
      </c>
      <c r="C51" t="s">
        <v>6</v>
      </c>
      <c r="G51" s="90">
        <f t="shared" si="0"/>
        <v>0</v>
      </c>
      <c r="I51" s="85"/>
      <c r="K51" s="7"/>
      <c r="O51" s="53"/>
      <c r="P51" s="53"/>
      <c r="R51" s="16"/>
      <c r="S51" s="30">
        <v>0</v>
      </c>
    </row>
    <row r="52" spans="1:20">
      <c r="A52" s="14" t="s">
        <v>238</v>
      </c>
      <c r="B52" t="s">
        <v>5</v>
      </c>
      <c r="C52" t="s">
        <v>6</v>
      </c>
      <c r="D52" t="s">
        <v>10</v>
      </c>
      <c r="E52" t="s">
        <v>35</v>
      </c>
      <c r="F52" t="s">
        <v>185</v>
      </c>
      <c r="G52" s="90">
        <f t="shared" si="0"/>
        <v>11470000000</v>
      </c>
      <c r="H52" s="1">
        <f>'Pulp and Paper'!F15</f>
        <v>11470000</v>
      </c>
      <c r="I52" s="85" t="s">
        <v>467</v>
      </c>
      <c r="J52" t="s">
        <v>142</v>
      </c>
      <c r="K52" s="7">
        <v>7348</v>
      </c>
      <c r="L52" t="s">
        <v>80</v>
      </c>
      <c r="M52" s="30">
        <v>2.2999999999999998</v>
      </c>
      <c r="N52" s="30">
        <v>0</v>
      </c>
      <c r="O52" s="9">
        <v>0</v>
      </c>
      <c r="P52" s="9">
        <v>0</v>
      </c>
      <c r="Q52" s="30">
        <v>0</v>
      </c>
      <c r="R52" s="16">
        <f t="shared" si="3"/>
        <v>2.2999999999999998</v>
      </c>
      <c r="S52" s="30">
        <f t="shared" si="2"/>
        <v>2.3E-2</v>
      </c>
      <c r="T52" t="s">
        <v>423</v>
      </c>
    </row>
    <row r="53" spans="1:20">
      <c r="A53" s="14" t="s">
        <v>239</v>
      </c>
      <c r="B53" t="s">
        <v>5</v>
      </c>
      <c r="C53" t="s">
        <v>6</v>
      </c>
      <c r="D53" t="s">
        <v>10</v>
      </c>
      <c r="E53" t="s">
        <v>9</v>
      </c>
      <c r="F53" t="s">
        <v>163</v>
      </c>
      <c r="G53" s="90">
        <f t="shared" si="0"/>
        <v>429629629.62962961</v>
      </c>
      <c r="H53">
        <f>'Roundwood and other raw wood'!F9</f>
        <v>429629.62962962961</v>
      </c>
      <c r="I53" s="85" t="s">
        <v>467</v>
      </c>
      <c r="J53" t="s">
        <v>85</v>
      </c>
      <c r="K53" s="7">
        <v>464000</v>
      </c>
      <c r="L53" t="s">
        <v>77</v>
      </c>
      <c r="M53" s="30">
        <v>2.2999999999999998</v>
      </c>
      <c r="N53" s="30">
        <v>0</v>
      </c>
      <c r="O53" s="9">
        <v>0</v>
      </c>
      <c r="P53" s="9">
        <v>0</v>
      </c>
      <c r="Q53" s="30">
        <v>0</v>
      </c>
      <c r="R53" s="16">
        <f t="shared" si="3"/>
        <v>2.2999999999999998</v>
      </c>
      <c r="S53" s="30">
        <f t="shared" si="2"/>
        <v>2.3E-2</v>
      </c>
      <c r="T53" s="67" t="s">
        <v>423</v>
      </c>
    </row>
    <row r="54" spans="1:20">
      <c r="A54" s="14" t="s">
        <v>240</v>
      </c>
      <c r="B54" t="s">
        <v>5</v>
      </c>
      <c r="C54" t="s">
        <v>6</v>
      </c>
      <c r="D54" t="s">
        <v>7</v>
      </c>
      <c r="E54" t="s">
        <v>35</v>
      </c>
      <c r="G54" s="90">
        <f t="shared" si="0"/>
        <v>307100000</v>
      </c>
      <c r="H54" s="1">
        <f>'Pulp and Paper'!F16</f>
        <v>307100</v>
      </c>
      <c r="I54" s="85" t="s">
        <v>467</v>
      </c>
      <c r="J54" t="s">
        <v>142</v>
      </c>
      <c r="K54" s="7">
        <v>83</v>
      </c>
      <c r="L54" t="s">
        <v>80</v>
      </c>
      <c r="M54" s="30">
        <v>2.2999999999999998</v>
      </c>
      <c r="N54" s="30">
        <v>0</v>
      </c>
      <c r="O54" s="9">
        <v>0</v>
      </c>
      <c r="P54" s="9">
        <v>0</v>
      </c>
      <c r="Q54" s="30">
        <v>0</v>
      </c>
      <c r="R54" s="16">
        <f t="shared" si="3"/>
        <v>2.2999999999999998</v>
      </c>
      <c r="S54" s="30">
        <f t="shared" si="2"/>
        <v>2.3E-2</v>
      </c>
      <c r="T54" s="67" t="s">
        <v>423</v>
      </c>
    </row>
    <row r="55" spans="1:20">
      <c r="A55" s="14" t="s">
        <v>241</v>
      </c>
      <c r="B55" t="s">
        <v>5</v>
      </c>
      <c r="C55" t="s">
        <v>6</v>
      </c>
      <c r="D55" t="s">
        <v>16</v>
      </c>
      <c r="E55" t="s">
        <v>35</v>
      </c>
      <c r="G55" s="90">
        <f t="shared" si="0"/>
        <v>16009900000</v>
      </c>
      <c r="H55" s="1">
        <f>'Pulp and Paper'!F17</f>
        <v>16009900</v>
      </c>
      <c r="I55" s="85" t="s">
        <v>467</v>
      </c>
      <c r="J55" t="s">
        <v>142</v>
      </c>
      <c r="K55" s="7">
        <v>4327</v>
      </c>
      <c r="L55" t="s">
        <v>80</v>
      </c>
      <c r="M55" s="30">
        <v>2.2999999999999998</v>
      </c>
      <c r="N55" s="30">
        <v>0</v>
      </c>
      <c r="O55" s="9">
        <v>0</v>
      </c>
      <c r="P55" s="9">
        <v>0</v>
      </c>
      <c r="Q55" s="30">
        <v>0</v>
      </c>
      <c r="R55" s="16">
        <f t="shared" si="3"/>
        <v>2.2999999999999998</v>
      </c>
      <c r="S55" s="30">
        <f t="shared" si="2"/>
        <v>2.3E-2</v>
      </c>
      <c r="T55" s="67" t="s">
        <v>423</v>
      </c>
    </row>
    <row r="56" spans="1:20">
      <c r="A56" s="14" t="s">
        <v>242</v>
      </c>
      <c r="B56" t="s">
        <v>5</v>
      </c>
      <c r="C56" t="s">
        <v>6</v>
      </c>
      <c r="D56" t="s">
        <v>10</v>
      </c>
      <c r="E56" t="s">
        <v>34</v>
      </c>
      <c r="F56" t="s">
        <v>382</v>
      </c>
      <c r="G56" s="90">
        <f t="shared" si="0"/>
        <v>5117773019.2719488</v>
      </c>
      <c r="H56">
        <f>K56*1000000000/467</f>
        <v>5117773.0192719484</v>
      </c>
      <c r="I56" s="85" t="s">
        <v>467</v>
      </c>
      <c r="J56" t="s">
        <v>89</v>
      </c>
      <c r="K56" s="7">
        <v>2.39</v>
      </c>
      <c r="L56" t="s">
        <v>90</v>
      </c>
      <c r="M56" s="30">
        <v>2.2999999999999998</v>
      </c>
      <c r="N56" s="62">
        <v>13.7</v>
      </c>
      <c r="O56" s="9">
        <v>0</v>
      </c>
      <c r="P56" s="9">
        <v>0</v>
      </c>
      <c r="Q56" s="30">
        <v>0</v>
      </c>
      <c r="R56" s="16">
        <f t="shared" si="3"/>
        <v>13.891724155050012</v>
      </c>
      <c r="S56" s="30">
        <f t="shared" si="2"/>
        <v>0.13891724155050011</v>
      </c>
      <c r="T56" t="s">
        <v>431</v>
      </c>
    </row>
    <row r="57" spans="1:20">
      <c r="A57" s="14" t="s">
        <v>243</v>
      </c>
      <c r="B57" t="s">
        <v>5</v>
      </c>
      <c r="C57" t="s">
        <v>6</v>
      </c>
      <c r="D57" t="s">
        <v>10</v>
      </c>
      <c r="E57" t="s">
        <v>9</v>
      </c>
      <c r="F57" t="s">
        <v>186</v>
      </c>
      <c r="G57" s="90">
        <f t="shared" si="0"/>
        <v>284259259.25925928</v>
      </c>
      <c r="H57" s="1">
        <f>'Roundwood and other raw wood'!F12</f>
        <v>284259.25925925927</v>
      </c>
      <c r="I57" s="85" t="s">
        <v>467</v>
      </c>
      <c r="J57" t="s">
        <v>88</v>
      </c>
      <c r="K57" s="7">
        <v>307</v>
      </c>
      <c r="L57" t="s">
        <v>87</v>
      </c>
      <c r="M57" s="30">
        <v>2.2999999999999998</v>
      </c>
      <c r="N57" s="92">
        <v>13.7</v>
      </c>
      <c r="O57" s="9">
        <v>0</v>
      </c>
      <c r="P57" s="9">
        <v>0</v>
      </c>
      <c r="Q57" s="30">
        <v>0</v>
      </c>
      <c r="R57" s="16">
        <f t="shared" si="3"/>
        <v>13.891724155050012</v>
      </c>
      <c r="S57" s="30">
        <f t="shared" si="2"/>
        <v>0.13891724155050011</v>
      </c>
      <c r="T57" s="67" t="s">
        <v>430</v>
      </c>
    </row>
    <row r="58" spans="1:20">
      <c r="A58" s="14" t="s">
        <v>244</v>
      </c>
      <c r="B58" t="s">
        <v>5</v>
      </c>
      <c r="C58" t="s">
        <v>6</v>
      </c>
      <c r="D58" t="s">
        <v>17</v>
      </c>
      <c r="E58" t="s">
        <v>409</v>
      </c>
      <c r="G58" s="90">
        <f t="shared" si="0"/>
        <v>2374069334.9598064</v>
      </c>
      <c r="H58">
        <f>'Industrial packaging'!E2+'Industrial packaging'!E3</f>
        <v>2374069.3349598064</v>
      </c>
      <c r="I58" s="85" t="s">
        <v>467</v>
      </c>
      <c r="J58" t="s">
        <v>91</v>
      </c>
      <c r="K58" s="7">
        <f>SUM('Industrial packaging'!G2:G3)</f>
        <v>59065601</v>
      </c>
      <c r="L58" t="s">
        <v>53</v>
      </c>
      <c r="M58" s="30">
        <v>2.2999999999999998</v>
      </c>
      <c r="N58" s="30">
        <v>0</v>
      </c>
      <c r="O58" s="9">
        <v>0</v>
      </c>
      <c r="P58" s="9">
        <v>0</v>
      </c>
      <c r="Q58" s="30">
        <v>0</v>
      </c>
      <c r="R58" s="16">
        <f t="shared" si="3"/>
        <v>2.2999999999999998</v>
      </c>
      <c r="S58" s="30">
        <f t="shared" si="2"/>
        <v>2.3E-2</v>
      </c>
      <c r="T58" s="67" t="s">
        <v>423</v>
      </c>
    </row>
    <row r="59" spans="1:20">
      <c r="A59" s="14" t="s">
        <v>245</v>
      </c>
      <c r="B59" t="s">
        <v>5</v>
      </c>
      <c r="C59" t="s">
        <v>6</v>
      </c>
      <c r="D59" t="s">
        <v>7</v>
      </c>
      <c r="E59" s="60" t="s">
        <v>409</v>
      </c>
      <c r="G59" s="90">
        <f t="shared" si="0"/>
        <v>140046482.64024863</v>
      </c>
      <c r="H59">
        <f>'Industrial packaging'!E14</f>
        <v>140046.48264024864</v>
      </c>
      <c r="I59" s="85" t="s">
        <v>467</v>
      </c>
      <c r="J59" t="s">
        <v>93</v>
      </c>
      <c r="K59" s="7">
        <f>'Industrial packaging'!I14</f>
        <v>140046.48264024864</v>
      </c>
      <c r="L59" t="s">
        <v>105</v>
      </c>
      <c r="M59" s="30">
        <v>2.2999999999999998</v>
      </c>
      <c r="N59" s="30">
        <v>0</v>
      </c>
      <c r="O59" s="9">
        <v>0</v>
      </c>
      <c r="P59" s="9">
        <v>0</v>
      </c>
      <c r="Q59" s="30">
        <v>0</v>
      </c>
      <c r="R59" s="16">
        <f t="shared" si="3"/>
        <v>2.2999999999999998</v>
      </c>
      <c r="S59" s="30">
        <f t="shared" si="2"/>
        <v>2.3E-2</v>
      </c>
      <c r="T59" s="67" t="s">
        <v>423</v>
      </c>
    </row>
    <row r="60" spans="1:20">
      <c r="A60" s="14" t="s">
        <v>246</v>
      </c>
      <c r="B60" t="s">
        <v>5</v>
      </c>
      <c r="C60" t="s">
        <v>6</v>
      </c>
      <c r="D60" t="s">
        <v>17</v>
      </c>
      <c r="E60" t="s">
        <v>373</v>
      </c>
      <c r="G60" s="90">
        <f t="shared" si="0"/>
        <v>121848217.36558381</v>
      </c>
      <c r="H60">
        <f>'Industrial packaging'!E4+'Industrial packaging'!E5+'Industrial packaging'!E6</f>
        <v>121848.21736558381</v>
      </c>
      <c r="I60" s="85" t="s">
        <v>467</v>
      </c>
      <c r="J60" t="s">
        <v>91</v>
      </c>
      <c r="K60" s="45">
        <f>SUM('Industrial packaging'!G4:G6)</f>
        <v>73120506</v>
      </c>
      <c r="L60" t="s">
        <v>105</v>
      </c>
      <c r="M60" s="30">
        <v>2.2999999999999998</v>
      </c>
      <c r="N60" s="89">
        <v>13.7</v>
      </c>
      <c r="O60" s="20">
        <v>4.5</v>
      </c>
      <c r="P60" s="20">
        <v>0</v>
      </c>
      <c r="Q60" s="20">
        <v>0</v>
      </c>
      <c r="R60" s="16">
        <f t="shared" si="3"/>
        <v>14.602397063496115</v>
      </c>
      <c r="S60" s="30">
        <f t="shared" si="2"/>
        <v>0.14602397063496114</v>
      </c>
      <c r="T60" s="73" t="s">
        <v>437</v>
      </c>
    </row>
    <row r="61" spans="1:20">
      <c r="A61" s="14" t="s">
        <v>247</v>
      </c>
      <c r="B61" t="s">
        <v>5</v>
      </c>
      <c r="C61" t="s">
        <v>6</v>
      </c>
      <c r="D61" t="s">
        <v>7</v>
      </c>
      <c r="E61" t="s">
        <v>373</v>
      </c>
      <c r="G61" s="90">
        <f t="shared" si="0"/>
        <v>121030786.79209127</v>
      </c>
      <c r="H61" s="34">
        <f>'Industrial packaging'!E13+'Industrial packaging'!E16</f>
        <v>121030.78679209127</v>
      </c>
      <c r="I61" s="85" t="s">
        <v>467</v>
      </c>
      <c r="J61" s="46" t="s">
        <v>93</v>
      </c>
      <c r="K61" s="47">
        <f>'Industrial packaging'!I13+'Industrial packaging'!I16</f>
        <v>121030.78679209127</v>
      </c>
      <c r="L61" t="s">
        <v>105</v>
      </c>
      <c r="M61" s="30">
        <v>2.2999999999999998</v>
      </c>
      <c r="N61" s="30">
        <v>0</v>
      </c>
      <c r="O61" s="9">
        <v>0</v>
      </c>
      <c r="P61" s="9">
        <v>0</v>
      </c>
      <c r="Q61" s="30">
        <v>0</v>
      </c>
      <c r="R61" s="16">
        <f t="shared" si="3"/>
        <v>2.2999999999999998</v>
      </c>
      <c r="S61" s="30">
        <f t="shared" si="2"/>
        <v>2.3E-2</v>
      </c>
      <c r="T61" s="67" t="s">
        <v>423</v>
      </c>
    </row>
    <row r="62" spans="1:20">
      <c r="A62" s="14" t="s">
        <v>248</v>
      </c>
      <c r="B62" t="s">
        <v>5</v>
      </c>
      <c r="C62" t="s">
        <v>6</v>
      </c>
      <c r="D62" t="s">
        <v>17</v>
      </c>
      <c r="E62" t="s">
        <v>36</v>
      </c>
      <c r="G62" s="90">
        <f t="shared" si="0"/>
        <v>737064695.93147743</v>
      </c>
      <c r="H62">
        <f>Joinery!E2</f>
        <v>737064.69593147747</v>
      </c>
      <c r="I62" s="85" t="s">
        <v>467</v>
      </c>
      <c r="J62" s="24" t="s">
        <v>91</v>
      </c>
      <c r="K62" s="49">
        <v>11103523</v>
      </c>
      <c r="L62" t="s">
        <v>62</v>
      </c>
      <c r="M62" s="89">
        <v>20.6</v>
      </c>
      <c r="N62" s="89">
        <v>41.3</v>
      </c>
      <c r="O62" s="9">
        <v>0</v>
      </c>
      <c r="P62" s="9">
        <v>0</v>
      </c>
      <c r="Q62" s="30">
        <v>0</v>
      </c>
      <c r="R62" s="16">
        <f t="shared" si="3"/>
        <v>46.152464722915937</v>
      </c>
      <c r="S62" s="30">
        <f t="shared" si="2"/>
        <v>0.46152464722915937</v>
      </c>
      <c r="T62" s="67" t="s">
        <v>438</v>
      </c>
    </row>
    <row r="63" spans="1:20">
      <c r="A63" s="14" t="s">
        <v>249</v>
      </c>
      <c r="B63" t="s">
        <v>5</v>
      </c>
      <c r="C63" t="s">
        <v>6</v>
      </c>
      <c r="D63" t="s">
        <v>7</v>
      </c>
      <c r="E63" t="s">
        <v>36</v>
      </c>
      <c r="G63" s="90">
        <f t="shared" si="0"/>
        <v>240583270.47109208</v>
      </c>
      <c r="H63">
        <f>Joinery!E11</f>
        <v>240583.27047109208</v>
      </c>
      <c r="I63" s="85" t="s">
        <v>467</v>
      </c>
      <c r="J63" t="s">
        <v>94</v>
      </c>
      <c r="K63" s="50">
        <v>138706651</v>
      </c>
      <c r="L63" t="s">
        <v>105</v>
      </c>
      <c r="M63" s="89">
        <v>20.6</v>
      </c>
      <c r="N63" s="89">
        <v>41.3</v>
      </c>
      <c r="O63" s="9">
        <v>0</v>
      </c>
      <c r="P63" s="9">
        <v>0</v>
      </c>
      <c r="Q63" s="30">
        <v>0</v>
      </c>
      <c r="R63" s="16">
        <f t="shared" si="3"/>
        <v>46.152464722915937</v>
      </c>
      <c r="S63" s="30">
        <f t="shared" si="2"/>
        <v>0.46152464722915937</v>
      </c>
      <c r="T63" s="67" t="s">
        <v>438</v>
      </c>
    </row>
    <row r="64" spans="1:20">
      <c r="A64" s="14" t="s">
        <v>250</v>
      </c>
      <c r="B64" t="s">
        <v>5</v>
      </c>
      <c r="C64" t="s">
        <v>6</v>
      </c>
      <c r="D64" t="s">
        <v>17</v>
      </c>
      <c r="E64" t="s">
        <v>335</v>
      </c>
      <c r="G64" s="90">
        <f t="shared" si="0"/>
        <v>2094659000</v>
      </c>
      <c r="H64">
        <f>Construction!G2</f>
        <v>2094659</v>
      </c>
      <c r="I64" s="85" t="s">
        <v>467</v>
      </c>
      <c r="J64" t="s">
        <v>138</v>
      </c>
      <c r="K64" s="48">
        <v>2094659</v>
      </c>
      <c r="L64" t="s">
        <v>105</v>
      </c>
      <c r="M64" s="30">
        <v>2.2999999999999998</v>
      </c>
      <c r="N64" s="20">
        <v>0</v>
      </c>
      <c r="O64" s="30">
        <v>13.7</v>
      </c>
      <c r="P64" s="20">
        <v>0</v>
      </c>
      <c r="Q64" s="20">
        <v>0</v>
      </c>
      <c r="R64" s="16">
        <f t="shared" si="3"/>
        <v>13.891724155050012</v>
      </c>
      <c r="S64" s="30">
        <f t="shared" si="2"/>
        <v>0.13891724155050011</v>
      </c>
      <c r="T64" t="s">
        <v>432</v>
      </c>
    </row>
    <row r="65" spans="1:20">
      <c r="A65" s="14" t="s">
        <v>251</v>
      </c>
      <c r="B65" t="s">
        <v>5</v>
      </c>
      <c r="C65" t="s">
        <v>6</v>
      </c>
      <c r="D65" t="s">
        <v>17</v>
      </c>
      <c r="E65" t="s">
        <v>37</v>
      </c>
      <c r="G65" s="90">
        <f t="shared" si="0"/>
        <v>16535283.725910064</v>
      </c>
      <c r="H65">
        <f>Joinery!E3</f>
        <v>16535.283725910063</v>
      </c>
      <c r="I65" s="85" t="s">
        <v>467</v>
      </c>
      <c r="J65" t="s">
        <v>95</v>
      </c>
      <c r="K65" s="43">
        <v>343199</v>
      </c>
      <c r="L65" t="s">
        <v>53</v>
      </c>
      <c r="M65" s="89">
        <v>20.6</v>
      </c>
      <c r="N65" s="89">
        <v>41.3</v>
      </c>
      <c r="O65" s="9">
        <v>0</v>
      </c>
      <c r="P65" s="9">
        <v>0</v>
      </c>
      <c r="Q65" s="30">
        <v>0</v>
      </c>
      <c r="R65" s="16">
        <f t="shared" si="3"/>
        <v>46.152464722915937</v>
      </c>
      <c r="S65" s="30">
        <f t="shared" si="2"/>
        <v>0.46152464722915937</v>
      </c>
      <c r="T65" s="67" t="s">
        <v>423</v>
      </c>
    </row>
    <row r="66" spans="1:20">
      <c r="A66" s="14" t="s">
        <v>252</v>
      </c>
      <c r="B66" t="s">
        <v>5</v>
      </c>
      <c r="C66" t="s">
        <v>6</v>
      </c>
      <c r="D66" t="s">
        <v>17</v>
      </c>
      <c r="E66" t="s">
        <v>38</v>
      </c>
      <c r="G66" s="90">
        <f t="shared" si="0"/>
        <v>511406854.38972169</v>
      </c>
      <c r="H66" s="20">
        <f>Joinery!E4+Joinery!E5+Joinery!E6+Joinery!E7</f>
        <v>511406.8543897217</v>
      </c>
      <c r="I66" s="85" t="s">
        <v>467</v>
      </c>
      <c r="J66" t="s">
        <v>95</v>
      </c>
      <c r="K66" s="7">
        <v>193965961</v>
      </c>
      <c r="L66" t="s">
        <v>105</v>
      </c>
      <c r="M66" s="89">
        <v>20.6</v>
      </c>
      <c r="N66" s="67">
        <v>41.3</v>
      </c>
      <c r="O66" s="9">
        <v>0</v>
      </c>
      <c r="P66" s="9">
        <v>0</v>
      </c>
      <c r="Q66" s="30">
        <v>0</v>
      </c>
      <c r="R66" s="16">
        <f t="shared" si="3"/>
        <v>46.152464722915937</v>
      </c>
      <c r="S66" s="30">
        <f t="shared" ref="S66:S93" si="4">R66/100</f>
        <v>0.46152464722915937</v>
      </c>
      <c r="T66" s="86" t="s">
        <v>441</v>
      </c>
    </row>
    <row r="67" spans="1:20">
      <c r="A67" s="14" t="s">
        <v>253</v>
      </c>
      <c r="B67" t="s">
        <v>5</v>
      </c>
      <c r="C67" t="s">
        <v>6</v>
      </c>
      <c r="D67" t="s">
        <v>17</v>
      </c>
      <c r="E67" t="s">
        <v>39</v>
      </c>
      <c r="G67" s="90">
        <f t="shared" ref="G67:G114" si="5">H67*1000</f>
        <v>1936430.7280513917</v>
      </c>
      <c r="H67">
        <f>'Other objects'!E2+'Other objects'!E4+'Other objects'!E6</f>
        <v>1936.4307280513917</v>
      </c>
      <c r="I67" s="85" t="s">
        <v>467</v>
      </c>
      <c r="J67" t="s">
        <v>95</v>
      </c>
      <c r="K67" s="7">
        <v>154927</v>
      </c>
      <c r="L67" t="s">
        <v>105</v>
      </c>
      <c r="M67" s="30">
        <v>2.2999999999999998</v>
      </c>
      <c r="N67" s="30">
        <v>41.3</v>
      </c>
      <c r="O67" s="9">
        <v>0</v>
      </c>
      <c r="P67" s="9">
        <v>0</v>
      </c>
      <c r="Q67" s="30">
        <v>0</v>
      </c>
      <c r="R67" s="16">
        <f t="shared" si="3"/>
        <v>41.363994004447875</v>
      </c>
      <c r="S67" s="30">
        <f t="shared" si="4"/>
        <v>0.41363994004447874</v>
      </c>
      <c r="T67" t="s">
        <v>441</v>
      </c>
    </row>
    <row r="68" spans="1:20">
      <c r="A68" s="14" t="s">
        <v>254</v>
      </c>
      <c r="B68" s="9" t="s">
        <v>5</v>
      </c>
      <c r="C68" s="9" t="s">
        <v>6</v>
      </c>
      <c r="D68" s="67" t="s">
        <v>17</v>
      </c>
      <c r="E68" s="9" t="s">
        <v>40</v>
      </c>
      <c r="F68" s="9"/>
      <c r="G68" s="90">
        <f t="shared" si="5"/>
        <v>1811934000</v>
      </c>
      <c r="H68" s="9">
        <f>Houses!F2</f>
        <v>1811934</v>
      </c>
      <c r="I68" s="85" t="s">
        <v>467</v>
      </c>
      <c r="J68" s="9" t="s">
        <v>372</v>
      </c>
      <c r="K68" s="7" t="s">
        <v>340</v>
      </c>
      <c r="M68" s="67">
        <v>2.2999999999999998</v>
      </c>
      <c r="N68" s="67">
        <v>0</v>
      </c>
      <c r="O68" s="64">
        <v>0</v>
      </c>
      <c r="P68" s="64">
        <v>0</v>
      </c>
      <c r="Q68" s="67">
        <v>0</v>
      </c>
      <c r="R68" s="16">
        <f t="shared" si="3"/>
        <v>2.2999999999999998</v>
      </c>
      <c r="S68" s="30">
        <f t="shared" si="4"/>
        <v>2.3E-2</v>
      </c>
      <c r="T68" t="s">
        <v>436</v>
      </c>
    </row>
    <row r="69" spans="1:20">
      <c r="A69" s="14" t="s">
        <v>255</v>
      </c>
      <c r="B69" s="9" t="s">
        <v>5</v>
      </c>
      <c r="C69" s="9" t="s">
        <v>6</v>
      </c>
      <c r="D69" s="67" t="s">
        <v>17</v>
      </c>
      <c r="E69" s="9" t="s">
        <v>41</v>
      </c>
      <c r="F69" s="9"/>
      <c r="G69" s="90">
        <f t="shared" si="5"/>
        <v>3071860200</v>
      </c>
      <c r="H69" s="9">
        <f>Houses!F3</f>
        <v>3071860.2</v>
      </c>
      <c r="I69" s="85" t="s">
        <v>467</v>
      </c>
      <c r="J69" s="9" t="s">
        <v>372</v>
      </c>
      <c r="K69" s="7" t="s">
        <v>340</v>
      </c>
      <c r="M69" s="67">
        <v>2.2999999999999998</v>
      </c>
      <c r="N69" s="67">
        <v>0</v>
      </c>
      <c r="O69" s="64">
        <v>0</v>
      </c>
      <c r="P69" s="64">
        <v>0</v>
      </c>
      <c r="Q69" s="67">
        <v>0</v>
      </c>
      <c r="R69" s="16">
        <f t="shared" si="3"/>
        <v>2.2999999999999998</v>
      </c>
      <c r="S69" s="30">
        <f t="shared" si="4"/>
        <v>2.3E-2</v>
      </c>
      <c r="T69" s="67" t="s">
        <v>436</v>
      </c>
    </row>
    <row r="70" spans="1:20">
      <c r="A70" s="14" t="s">
        <v>256</v>
      </c>
      <c r="B70" s="9" t="s">
        <v>5</v>
      </c>
      <c r="C70" s="9" t="s">
        <v>6</v>
      </c>
      <c r="D70" s="67" t="s">
        <v>17</v>
      </c>
      <c r="E70" s="9" t="s">
        <v>42</v>
      </c>
      <c r="F70" s="9"/>
      <c r="G70" s="90">
        <f t="shared" si="5"/>
        <v>4898542500</v>
      </c>
      <c r="H70" s="9">
        <f>Houses!F4</f>
        <v>4898542.5</v>
      </c>
      <c r="I70" s="85" t="s">
        <v>467</v>
      </c>
      <c r="J70" s="9" t="s">
        <v>372</v>
      </c>
      <c r="K70" s="7" t="s">
        <v>340</v>
      </c>
      <c r="M70" s="67">
        <v>2.2999999999999998</v>
      </c>
      <c r="N70" s="67">
        <v>0</v>
      </c>
      <c r="O70" s="64">
        <v>0</v>
      </c>
      <c r="P70" s="64">
        <v>0</v>
      </c>
      <c r="Q70" s="67">
        <v>0</v>
      </c>
      <c r="R70" s="16">
        <f t="shared" ref="R70:R74" si="6">SQRT(M70^2+N70^2+O70^2+P70^2+Q70^2)</f>
        <v>2.2999999999999998</v>
      </c>
      <c r="S70" s="30">
        <f t="shared" si="4"/>
        <v>2.3E-2</v>
      </c>
      <c r="T70" s="67" t="s">
        <v>436</v>
      </c>
    </row>
    <row r="71" spans="1:20">
      <c r="A71" s="14" t="s">
        <v>257</v>
      </c>
      <c r="B71" s="9" t="s">
        <v>5</v>
      </c>
      <c r="C71" s="9" t="s">
        <v>6</v>
      </c>
      <c r="D71" s="67" t="s">
        <v>17</v>
      </c>
      <c r="E71" s="9" t="s">
        <v>43</v>
      </c>
      <c r="F71" s="9"/>
      <c r="G71" s="90">
        <f t="shared" si="5"/>
        <v>5764478399.999999</v>
      </c>
      <c r="H71" s="9">
        <f>Houses!F5</f>
        <v>5764478.3999999994</v>
      </c>
      <c r="I71" s="85" t="s">
        <v>467</v>
      </c>
      <c r="J71" s="9" t="s">
        <v>372</v>
      </c>
      <c r="K71" s="7" t="s">
        <v>340</v>
      </c>
      <c r="M71" s="67">
        <v>2.2999999999999998</v>
      </c>
      <c r="N71" s="67">
        <v>0</v>
      </c>
      <c r="O71" s="64">
        <v>0</v>
      </c>
      <c r="P71" s="64">
        <v>0</v>
      </c>
      <c r="Q71" s="67">
        <v>0</v>
      </c>
      <c r="R71" s="16">
        <f t="shared" si="6"/>
        <v>2.2999999999999998</v>
      </c>
      <c r="S71" s="30">
        <f t="shared" si="4"/>
        <v>2.3E-2</v>
      </c>
      <c r="T71" s="67" t="s">
        <v>436</v>
      </c>
    </row>
    <row r="72" spans="1:20">
      <c r="A72" s="14" t="s">
        <v>258</v>
      </c>
      <c r="B72" s="9" t="s">
        <v>5</v>
      </c>
      <c r="C72" s="9" t="s">
        <v>6</v>
      </c>
      <c r="D72" s="67" t="s">
        <v>17</v>
      </c>
      <c r="E72" s="9" t="s">
        <v>44</v>
      </c>
      <c r="F72" s="9"/>
      <c r="G72" s="90">
        <f t="shared" si="5"/>
        <v>648925200.00000012</v>
      </c>
      <c r="H72" s="9">
        <f>Houses!F6</f>
        <v>648925.20000000007</v>
      </c>
      <c r="I72" s="85" t="s">
        <v>467</v>
      </c>
      <c r="J72" s="9" t="s">
        <v>372</v>
      </c>
      <c r="K72" s="7" t="s">
        <v>340</v>
      </c>
      <c r="M72" s="67">
        <v>2.2999999999999998</v>
      </c>
      <c r="N72" s="67">
        <v>0</v>
      </c>
      <c r="O72" s="64">
        <v>0</v>
      </c>
      <c r="P72" s="64">
        <v>0</v>
      </c>
      <c r="Q72" s="67">
        <v>0</v>
      </c>
      <c r="R72" s="16">
        <f t="shared" si="6"/>
        <v>2.2999999999999998</v>
      </c>
      <c r="S72" s="30">
        <f t="shared" si="4"/>
        <v>2.3E-2</v>
      </c>
      <c r="T72" s="67" t="s">
        <v>436</v>
      </c>
    </row>
    <row r="73" spans="1:20">
      <c r="A73" s="14" t="s">
        <v>259</v>
      </c>
      <c r="B73" s="9" t="s">
        <v>5</v>
      </c>
      <c r="C73" s="9" t="s">
        <v>6</v>
      </c>
      <c r="D73" s="67" t="s">
        <v>17</v>
      </c>
      <c r="E73" s="9" t="s">
        <v>45</v>
      </c>
      <c r="F73" s="9"/>
      <c r="G73" s="90">
        <f t="shared" si="5"/>
        <v>1095588000</v>
      </c>
      <c r="H73" s="9">
        <f>Houses!F7</f>
        <v>1095588</v>
      </c>
      <c r="I73" s="85" t="s">
        <v>467</v>
      </c>
      <c r="J73" s="9" t="s">
        <v>372</v>
      </c>
      <c r="K73" s="7" t="s">
        <v>340</v>
      </c>
      <c r="M73" s="67">
        <v>2.2999999999999998</v>
      </c>
      <c r="N73" s="67">
        <v>0</v>
      </c>
      <c r="O73" s="64">
        <v>0</v>
      </c>
      <c r="P73" s="64">
        <v>0</v>
      </c>
      <c r="Q73" s="67">
        <v>0</v>
      </c>
      <c r="R73" s="16">
        <f t="shared" si="6"/>
        <v>2.2999999999999998</v>
      </c>
      <c r="S73" s="30">
        <f t="shared" si="4"/>
        <v>2.3E-2</v>
      </c>
      <c r="T73" s="67" t="s">
        <v>436</v>
      </c>
    </row>
    <row r="74" spans="1:20">
      <c r="A74" s="14" t="s">
        <v>260</v>
      </c>
      <c r="B74" s="9" t="s">
        <v>5</v>
      </c>
      <c r="C74" s="9" t="s">
        <v>6</v>
      </c>
      <c r="D74" s="67" t="s">
        <v>17</v>
      </c>
      <c r="E74" s="9" t="s">
        <v>46</v>
      </c>
      <c r="F74" s="9"/>
      <c r="G74" s="90">
        <f t="shared" si="5"/>
        <v>1969951500.0000002</v>
      </c>
      <c r="H74" s="9">
        <f>Houses!F8</f>
        <v>1969951.5000000002</v>
      </c>
      <c r="I74" s="85" t="s">
        <v>467</v>
      </c>
      <c r="J74" s="9" t="s">
        <v>372</v>
      </c>
      <c r="K74" s="7" t="s">
        <v>340</v>
      </c>
      <c r="M74" s="67">
        <v>2.2999999999999998</v>
      </c>
      <c r="N74" s="67">
        <v>0</v>
      </c>
      <c r="O74" s="64">
        <v>0</v>
      </c>
      <c r="P74" s="64">
        <v>0</v>
      </c>
      <c r="Q74" s="67">
        <v>0</v>
      </c>
      <c r="R74" s="16">
        <f t="shared" si="6"/>
        <v>2.2999999999999998</v>
      </c>
      <c r="S74" s="30">
        <f t="shared" si="4"/>
        <v>2.3E-2</v>
      </c>
      <c r="T74" s="67" t="s">
        <v>436</v>
      </c>
    </row>
    <row r="75" spans="1:20">
      <c r="A75" s="14" t="s">
        <v>261</v>
      </c>
      <c r="B75" t="s">
        <v>5</v>
      </c>
      <c r="C75" t="s">
        <v>6</v>
      </c>
      <c r="D75" t="s">
        <v>17</v>
      </c>
      <c r="E75" t="s">
        <v>377</v>
      </c>
      <c r="G75" s="90">
        <f t="shared" si="5"/>
        <v>6310365611.8645411</v>
      </c>
      <c r="H75">
        <f>H56+H28+H27</f>
        <v>6310365.6118645407</v>
      </c>
      <c r="I75" s="85" t="s">
        <v>467</v>
      </c>
      <c r="J75" t="s">
        <v>378</v>
      </c>
      <c r="K75" s="7"/>
      <c r="M75" s="30">
        <v>2.2999999999999998</v>
      </c>
      <c r="N75" s="30">
        <v>0</v>
      </c>
      <c r="O75" s="9">
        <v>0</v>
      </c>
      <c r="P75" s="9">
        <v>0</v>
      </c>
      <c r="Q75" s="30">
        <v>0</v>
      </c>
      <c r="R75" s="16">
        <f t="shared" ref="R75:R93" si="7">SQRT(M75^2+N75^2+O75^2+P75^2+Q75^2)</f>
        <v>2.2999999999999998</v>
      </c>
      <c r="S75" s="30">
        <f t="shared" si="4"/>
        <v>2.3E-2</v>
      </c>
    </row>
    <row r="76" spans="1:20" s="67" customFormat="1">
      <c r="A76" s="14" t="s">
        <v>262</v>
      </c>
      <c r="B76" s="67" t="s">
        <v>5</v>
      </c>
      <c r="C76" s="67" t="s">
        <v>6</v>
      </c>
      <c r="D76" s="67" t="s">
        <v>13</v>
      </c>
      <c r="E76" s="67" t="s">
        <v>384</v>
      </c>
      <c r="F76" s="67" t="s">
        <v>416</v>
      </c>
      <c r="G76" s="90">
        <f t="shared" si="5"/>
        <v>0</v>
      </c>
      <c r="I76" s="85" t="s">
        <v>467</v>
      </c>
      <c r="K76" s="7"/>
      <c r="O76" s="64"/>
      <c r="P76" s="64"/>
      <c r="R76" s="16"/>
      <c r="S76" s="67">
        <v>0</v>
      </c>
    </row>
    <row r="77" spans="1:20">
      <c r="A77" s="14" t="s">
        <v>263</v>
      </c>
      <c r="B77" t="s">
        <v>5</v>
      </c>
      <c r="C77" t="s">
        <v>6</v>
      </c>
      <c r="D77" t="s">
        <v>7</v>
      </c>
      <c r="E77" t="s">
        <v>335</v>
      </c>
      <c r="G77" s="90">
        <f t="shared" si="5"/>
        <v>1785813000</v>
      </c>
      <c r="H77" s="51">
        <v>1785813</v>
      </c>
      <c r="I77" s="85" t="s">
        <v>467</v>
      </c>
      <c r="J77" t="s">
        <v>143</v>
      </c>
      <c r="K77" s="44">
        <f>Construction!E7</f>
        <v>1785813</v>
      </c>
      <c r="L77" t="s">
        <v>105</v>
      </c>
      <c r="M77" s="30">
        <v>2.2999999999999998</v>
      </c>
      <c r="N77" s="30">
        <v>0</v>
      </c>
      <c r="O77" s="9">
        <v>4.5</v>
      </c>
      <c r="P77" s="9">
        <v>0</v>
      </c>
      <c r="Q77" s="30">
        <v>0</v>
      </c>
      <c r="R77" s="16">
        <f t="shared" si="7"/>
        <v>5.0537115073973107</v>
      </c>
      <c r="S77" s="30">
        <f t="shared" si="4"/>
        <v>5.0537115073973106E-2</v>
      </c>
      <c r="T77" t="s">
        <v>433</v>
      </c>
    </row>
    <row r="78" spans="1:20">
      <c r="A78" s="14" t="s">
        <v>264</v>
      </c>
      <c r="B78" t="s">
        <v>5</v>
      </c>
      <c r="C78" t="s">
        <v>6</v>
      </c>
      <c r="D78" t="s">
        <v>7</v>
      </c>
      <c r="E78" t="s">
        <v>37</v>
      </c>
      <c r="G78" s="90">
        <f t="shared" si="5"/>
        <v>74397915.481798708</v>
      </c>
      <c r="H78">
        <f>Joinery!E9</f>
        <v>74397.915481798715</v>
      </c>
      <c r="I78" s="85" t="s">
        <v>467</v>
      </c>
      <c r="J78" t="s">
        <v>94</v>
      </c>
      <c r="K78" s="7">
        <v>42893613</v>
      </c>
      <c r="L78" t="s">
        <v>105</v>
      </c>
      <c r="M78" s="89">
        <v>20.6</v>
      </c>
      <c r="N78" s="89">
        <v>41.3</v>
      </c>
      <c r="O78" s="9">
        <v>0</v>
      </c>
      <c r="P78" s="9">
        <v>0</v>
      </c>
      <c r="Q78" s="30">
        <v>0</v>
      </c>
      <c r="R78" s="16">
        <f t="shared" si="7"/>
        <v>46.152464722915937</v>
      </c>
      <c r="S78" s="30">
        <f t="shared" si="4"/>
        <v>0.46152464722915937</v>
      </c>
    </row>
    <row r="79" spans="1:20">
      <c r="A79" s="14" t="s">
        <v>265</v>
      </c>
      <c r="B79" t="s">
        <v>5</v>
      </c>
      <c r="C79" t="s">
        <v>6</v>
      </c>
      <c r="D79" t="s">
        <v>7</v>
      </c>
      <c r="E79" t="s">
        <v>38</v>
      </c>
      <c r="G79" s="90">
        <f t="shared" si="5"/>
        <v>122171253.01927194</v>
      </c>
      <c r="H79">
        <f>Joinery!E16+Joinery!E18+Joinery!E20</f>
        <v>122171.25301927194</v>
      </c>
      <c r="I79" s="85" t="s">
        <v>467</v>
      </c>
      <c r="J79" t="s">
        <v>94</v>
      </c>
      <c r="K79" s="7">
        <v>62696676</v>
      </c>
      <c r="L79" t="s">
        <v>105</v>
      </c>
      <c r="M79" s="89">
        <v>20.6</v>
      </c>
      <c r="N79" s="89">
        <v>41.3</v>
      </c>
      <c r="O79" s="9">
        <v>0</v>
      </c>
      <c r="P79" s="9">
        <v>0</v>
      </c>
      <c r="Q79" s="30">
        <v>0</v>
      </c>
      <c r="R79" s="16">
        <f t="shared" si="7"/>
        <v>46.152464722915937</v>
      </c>
      <c r="S79" s="30">
        <f t="shared" si="4"/>
        <v>0.46152464722915937</v>
      </c>
    </row>
    <row r="80" spans="1:20">
      <c r="A80" s="14" t="s">
        <v>266</v>
      </c>
      <c r="B80" t="s">
        <v>5</v>
      </c>
      <c r="C80" t="s">
        <v>6</v>
      </c>
      <c r="D80" t="s">
        <v>7</v>
      </c>
      <c r="E80" t="s">
        <v>39</v>
      </c>
      <c r="G80" s="90">
        <f t="shared" si="5"/>
        <v>432924284.79657388</v>
      </c>
      <c r="H80">
        <f>'Other objects'!E9+'Other objects'!IE9+'Other objects'!E25</f>
        <v>432924.28479657386</v>
      </c>
      <c r="I80" s="85" t="s">
        <v>467</v>
      </c>
      <c r="J80" t="s">
        <v>140</v>
      </c>
      <c r="K80" s="7">
        <v>216656340</v>
      </c>
      <c r="L80" t="s">
        <v>105</v>
      </c>
      <c r="M80" s="30">
        <v>2.2999999999999998</v>
      </c>
      <c r="N80" s="30">
        <v>0</v>
      </c>
      <c r="O80" s="9">
        <v>4.5</v>
      </c>
      <c r="P80" s="9">
        <v>0</v>
      </c>
      <c r="Q80" s="30">
        <v>0</v>
      </c>
      <c r="R80" s="16">
        <f t="shared" si="7"/>
        <v>5.0537115073973107</v>
      </c>
      <c r="S80" s="30">
        <f t="shared" si="4"/>
        <v>5.0537115073973106E-2</v>
      </c>
      <c r="T80" s="67" t="s">
        <v>441</v>
      </c>
    </row>
    <row r="81" spans="1:20">
      <c r="A81" s="14" t="s">
        <v>267</v>
      </c>
      <c r="B81" s="67" t="s">
        <v>5</v>
      </c>
      <c r="C81" s="67" t="s">
        <v>6</v>
      </c>
      <c r="D81" s="67" t="s">
        <v>17</v>
      </c>
      <c r="E81" s="67" t="s">
        <v>411</v>
      </c>
      <c r="F81" s="67"/>
      <c r="G81" s="90">
        <f t="shared" si="5"/>
        <v>1962909080.5512164</v>
      </c>
      <c r="H81" s="67">
        <f>'Industrial packaging'!E7</f>
        <v>1962909.0805512164</v>
      </c>
      <c r="I81" s="85" t="s">
        <v>467</v>
      </c>
      <c r="J81" s="67" t="s">
        <v>91</v>
      </c>
      <c r="K81" s="67">
        <v>72919479</v>
      </c>
      <c r="L81" s="67" t="s">
        <v>53</v>
      </c>
      <c r="M81" s="67">
        <v>2.2999999999999998</v>
      </c>
      <c r="N81" s="67">
        <v>0</v>
      </c>
      <c r="O81" s="9">
        <v>0</v>
      </c>
      <c r="P81" s="9">
        <v>0</v>
      </c>
      <c r="Q81" s="67">
        <v>0</v>
      </c>
      <c r="R81" s="16">
        <f t="shared" si="7"/>
        <v>2.2999999999999998</v>
      </c>
      <c r="S81" s="67">
        <f t="shared" si="4"/>
        <v>2.3E-2</v>
      </c>
      <c r="T81" t="s">
        <v>440</v>
      </c>
    </row>
    <row r="82" spans="1:20">
      <c r="A82" s="14" t="s">
        <v>410</v>
      </c>
      <c r="B82" s="92" t="s">
        <v>5</v>
      </c>
      <c r="C82" s="92" t="s">
        <v>6</v>
      </c>
      <c r="D82" s="92" t="s">
        <v>17</v>
      </c>
      <c r="E82" s="92" t="s">
        <v>473</v>
      </c>
      <c r="F82" s="92"/>
      <c r="G82" s="92"/>
      <c r="H82" s="92">
        <v>239448380.90000001</v>
      </c>
      <c r="I82" s="92" t="s">
        <v>467</v>
      </c>
      <c r="J82" s="67"/>
      <c r="K82" s="67"/>
      <c r="L82" s="67" t="s">
        <v>58</v>
      </c>
      <c r="M82" s="92">
        <v>2.2999999999999998</v>
      </c>
      <c r="N82" s="92">
        <v>0</v>
      </c>
      <c r="O82" s="64">
        <v>0</v>
      </c>
      <c r="P82" s="64">
        <v>0</v>
      </c>
      <c r="Q82" s="92">
        <v>0</v>
      </c>
      <c r="R82" s="16">
        <f t="shared" ref="R82:R83" si="8">SQRT(M82^2+N82^2+O82^2+P82^2+Q82^2)</f>
        <v>2.2999999999999998</v>
      </c>
      <c r="S82" s="92">
        <f t="shared" ref="S82:S83" si="9">R82/100</f>
        <v>2.3E-2</v>
      </c>
    </row>
    <row r="83" spans="1:20" s="28" customFormat="1">
      <c r="A83" s="14" t="s">
        <v>412</v>
      </c>
      <c r="B83" s="92" t="s">
        <v>5</v>
      </c>
      <c r="C83" s="92" t="s">
        <v>6</v>
      </c>
      <c r="D83" s="92" t="s">
        <v>17</v>
      </c>
      <c r="E83" s="92" t="s">
        <v>474</v>
      </c>
      <c r="F83" s="92"/>
      <c r="G83" s="92"/>
      <c r="H83" s="92">
        <v>320249800.39999998</v>
      </c>
      <c r="I83" s="92" t="s">
        <v>467</v>
      </c>
      <c r="J83" s="9"/>
      <c r="K83" s="7"/>
      <c r="L83" s="92" t="s">
        <v>58</v>
      </c>
      <c r="M83" s="92">
        <v>2.2999999999999998</v>
      </c>
      <c r="N83" s="92">
        <v>0</v>
      </c>
      <c r="O83" s="64">
        <v>0</v>
      </c>
      <c r="P83" s="64">
        <v>0</v>
      </c>
      <c r="Q83" s="92">
        <v>0</v>
      </c>
      <c r="R83" s="16">
        <f t="shared" si="8"/>
        <v>2.2999999999999998</v>
      </c>
      <c r="S83" s="92">
        <f t="shared" si="9"/>
        <v>2.3E-2</v>
      </c>
    </row>
    <row r="84" spans="1:20" s="28" customFormat="1">
      <c r="A84" s="14"/>
      <c r="G84" s="90"/>
      <c r="H84" s="1"/>
      <c r="I84" s="85"/>
      <c r="J84" s="9"/>
      <c r="K84" s="7"/>
      <c r="L84" s="4"/>
      <c r="M84" s="4"/>
      <c r="N84" s="4"/>
      <c r="O84" s="4"/>
      <c r="P84" s="4"/>
      <c r="R84" s="16"/>
      <c r="S84" s="30"/>
    </row>
    <row r="85" spans="1:20">
      <c r="A85" s="14" t="s">
        <v>417</v>
      </c>
      <c r="B85" s="21" t="s">
        <v>5</v>
      </c>
      <c r="C85" s="21" t="s">
        <v>6</v>
      </c>
      <c r="D85" s="21" t="s">
        <v>16</v>
      </c>
      <c r="E85" s="21" t="s">
        <v>31</v>
      </c>
      <c r="F85" s="21"/>
      <c r="G85" s="90">
        <f t="shared" si="5"/>
        <v>74250000</v>
      </c>
      <c r="H85" s="34">
        <f>'Wood pellets'!E3</f>
        <v>74250</v>
      </c>
      <c r="I85" s="85" t="s">
        <v>467</v>
      </c>
      <c r="J85" s="55" t="s">
        <v>342</v>
      </c>
      <c r="K85" s="34">
        <f>'Wood pellets'!E3</f>
        <v>74250</v>
      </c>
      <c r="L85" s="40" t="s">
        <v>105</v>
      </c>
      <c r="M85" s="30">
        <v>2.2999999999999998</v>
      </c>
      <c r="N85" s="61">
        <v>13.7</v>
      </c>
      <c r="O85" s="9">
        <v>4.5</v>
      </c>
      <c r="P85" s="9">
        <v>0</v>
      </c>
      <c r="Q85" s="30">
        <v>0</v>
      </c>
      <c r="R85" s="16">
        <f t="shared" si="7"/>
        <v>14.602397063496115</v>
      </c>
      <c r="S85" s="30">
        <f t="shared" si="4"/>
        <v>0.14602397063496114</v>
      </c>
      <c r="T85" s="72" t="s">
        <v>435</v>
      </c>
    </row>
    <row r="86" spans="1:20">
      <c r="A86" s="14" t="s">
        <v>418</v>
      </c>
      <c r="B86" s="21" t="s">
        <v>5</v>
      </c>
      <c r="C86" s="21" t="s">
        <v>6</v>
      </c>
      <c r="D86" s="21" t="s">
        <v>16</v>
      </c>
      <c r="E86" s="60" t="s">
        <v>409</v>
      </c>
      <c r="F86" s="21"/>
      <c r="G86" s="90">
        <f t="shared" si="5"/>
        <v>140046482.64024863</v>
      </c>
      <c r="H86" s="1">
        <f>'Industrial packaging'!E14</f>
        <v>140046.48264024864</v>
      </c>
      <c r="I86" s="85" t="s">
        <v>467</v>
      </c>
      <c r="J86" t="s">
        <v>93</v>
      </c>
      <c r="K86">
        <f>'Industrial packaging'!G15</f>
        <v>81950089</v>
      </c>
      <c r="L86" s="40" t="s">
        <v>105</v>
      </c>
      <c r="M86" s="30">
        <v>2.2999999999999998</v>
      </c>
      <c r="N86" s="30">
        <v>13.7</v>
      </c>
      <c r="O86" s="9">
        <v>4.5</v>
      </c>
      <c r="P86" s="9">
        <v>0</v>
      </c>
      <c r="Q86" s="30">
        <v>0</v>
      </c>
      <c r="R86" s="16">
        <f t="shared" si="7"/>
        <v>14.602397063496115</v>
      </c>
      <c r="S86" s="30">
        <f t="shared" si="4"/>
        <v>0.14602397063496114</v>
      </c>
      <c r="T86" s="72" t="s">
        <v>435</v>
      </c>
    </row>
    <row r="87" spans="1:20">
      <c r="A87" s="14" t="s">
        <v>268</v>
      </c>
      <c r="B87" s="21" t="s">
        <v>5</v>
      </c>
      <c r="C87" s="21" t="s">
        <v>6</v>
      </c>
      <c r="D87" s="21" t="s">
        <v>16</v>
      </c>
      <c r="E87" s="21" t="s">
        <v>373</v>
      </c>
      <c r="F87" s="21"/>
      <c r="G87" s="90">
        <f t="shared" si="5"/>
        <v>27921955.690349031</v>
      </c>
      <c r="H87" s="34">
        <f>'Industrial packaging'!E11+'Industrial packaging'!E13+'Industrial packaging'!E17</f>
        <v>27921.95569034903</v>
      </c>
      <c r="I87" s="85" t="s">
        <v>467</v>
      </c>
      <c r="J87" t="s">
        <v>347</v>
      </c>
      <c r="K87" s="34">
        <f>'Industrial packaging'!G13+'Industrial packaging'!G17</f>
        <v>16755826</v>
      </c>
      <c r="L87" s="40" t="s">
        <v>105</v>
      </c>
      <c r="M87" s="40">
        <v>2.2999999999999998</v>
      </c>
      <c r="N87" s="61">
        <v>13.7</v>
      </c>
      <c r="O87" s="9">
        <v>0</v>
      </c>
      <c r="P87" s="9">
        <v>0</v>
      </c>
      <c r="Q87" s="40">
        <v>0</v>
      </c>
      <c r="R87" s="16">
        <f t="shared" si="7"/>
        <v>13.891724155050012</v>
      </c>
      <c r="S87" s="30">
        <f t="shared" si="4"/>
        <v>0.13891724155050011</v>
      </c>
      <c r="T87" s="72" t="s">
        <v>435</v>
      </c>
    </row>
    <row r="88" spans="1:20">
      <c r="A88" s="14" t="s">
        <v>269</v>
      </c>
      <c r="B88" s="21" t="s">
        <v>5</v>
      </c>
      <c r="C88" s="21" t="s">
        <v>6</v>
      </c>
      <c r="D88" s="21" t="s">
        <v>16</v>
      </c>
      <c r="E88" s="21" t="s">
        <v>179</v>
      </c>
      <c r="F88" s="21"/>
      <c r="G88" s="90">
        <f t="shared" si="5"/>
        <v>3908526.7665952891</v>
      </c>
      <c r="H88" s="21">
        <f>'Other objects'!E35</f>
        <v>3908.5267665952892</v>
      </c>
      <c r="I88" s="85" t="s">
        <v>467</v>
      </c>
      <c r="J88" s="55" t="s">
        <v>368</v>
      </c>
      <c r="K88">
        <f>'Other objects'!G35</f>
        <v>1825282</v>
      </c>
      <c r="L88" s="40" t="s">
        <v>105</v>
      </c>
      <c r="M88" s="89">
        <v>20.6</v>
      </c>
      <c r="N88" s="89">
        <v>41.3</v>
      </c>
      <c r="O88" s="9">
        <v>4.5</v>
      </c>
      <c r="P88" s="9">
        <v>0</v>
      </c>
      <c r="Q88" s="30">
        <v>0</v>
      </c>
      <c r="R88" s="16">
        <f t="shared" si="7"/>
        <v>46.371327347834239</v>
      </c>
      <c r="S88" s="30">
        <f t="shared" si="4"/>
        <v>0.4637132734783424</v>
      </c>
      <c r="T88" s="72" t="s">
        <v>435</v>
      </c>
    </row>
    <row r="89" spans="1:20">
      <c r="A89" s="14" t="s">
        <v>419</v>
      </c>
      <c r="B89" s="21" t="s">
        <v>5</v>
      </c>
      <c r="C89" s="21" t="s">
        <v>6</v>
      </c>
      <c r="D89" s="21" t="s">
        <v>16</v>
      </c>
      <c r="E89" s="21" t="s">
        <v>36</v>
      </c>
      <c r="F89" s="21"/>
      <c r="G89" s="90">
        <f t="shared" si="5"/>
        <v>19739467.580299783</v>
      </c>
      <c r="H89">
        <f>Joinery!E12</f>
        <v>19739.467580299784</v>
      </c>
      <c r="I89" s="85" t="s">
        <v>467</v>
      </c>
      <c r="J89" s="40" t="s">
        <v>347</v>
      </c>
      <c r="K89">
        <f>Joinery!G12</f>
        <v>11380656</v>
      </c>
      <c r="L89" t="s">
        <v>105</v>
      </c>
      <c r="M89" s="89">
        <v>20.6</v>
      </c>
      <c r="N89" s="89">
        <v>41.3</v>
      </c>
      <c r="O89" s="9">
        <v>0</v>
      </c>
      <c r="P89" s="9">
        <v>0</v>
      </c>
      <c r="Q89" s="30">
        <v>0</v>
      </c>
      <c r="R89" s="16">
        <f t="shared" si="7"/>
        <v>46.152464722915937</v>
      </c>
      <c r="S89" s="30">
        <f t="shared" si="4"/>
        <v>0.46152464722915937</v>
      </c>
      <c r="T89" s="72" t="s">
        <v>435</v>
      </c>
    </row>
    <row r="90" spans="1:20">
      <c r="A90" s="14" t="s">
        <v>270</v>
      </c>
      <c r="B90" s="21" t="s">
        <v>5</v>
      </c>
      <c r="C90" s="21" t="s">
        <v>6</v>
      </c>
      <c r="D90" s="21" t="s">
        <v>16</v>
      </c>
      <c r="E90" s="21" t="s">
        <v>335</v>
      </c>
      <c r="F90" s="21"/>
      <c r="G90" s="90">
        <f t="shared" si="5"/>
        <v>311285000</v>
      </c>
      <c r="H90" s="1">
        <f>Construction!E8</f>
        <v>311285</v>
      </c>
      <c r="I90" s="85" t="s">
        <v>467</v>
      </c>
      <c r="J90" s="40" t="s">
        <v>347</v>
      </c>
      <c r="K90">
        <f>Construction!E8</f>
        <v>311285</v>
      </c>
      <c r="L90" t="s">
        <v>105</v>
      </c>
      <c r="M90" s="30">
        <v>2.2999999999999998</v>
      </c>
      <c r="N90" s="61">
        <v>13.7</v>
      </c>
      <c r="O90" s="9">
        <v>0</v>
      </c>
      <c r="P90" s="9">
        <v>0</v>
      </c>
      <c r="Q90" s="30">
        <v>0</v>
      </c>
      <c r="R90" s="16">
        <f t="shared" si="7"/>
        <v>13.891724155050012</v>
      </c>
      <c r="S90" s="30">
        <f t="shared" si="4"/>
        <v>0.13891724155050011</v>
      </c>
      <c r="T90" s="72" t="s">
        <v>435</v>
      </c>
    </row>
    <row r="91" spans="1:20">
      <c r="A91" s="14" t="s">
        <v>271</v>
      </c>
      <c r="B91" s="21" t="s">
        <v>5</v>
      </c>
      <c r="C91" s="21" t="s">
        <v>6</v>
      </c>
      <c r="D91" s="21" t="s">
        <v>16</v>
      </c>
      <c r="E91" s="21" t="s">
        <v>37</v>
      </c>
      <c r="F91" s="21"/>
      <c r="G91" s="90">
        <f t="shared" si="5"/>
        <v>4627556.0171306217</v>
      </c>
      <c r="H91">
        <f>Joinery!E10</f>
        <v>4627.5560171306215</v>
      </c>
      <c r="I91" s="85" t="s">
        <v>467</v>
      </c>
      <c r="J91" s="40" t="s">
        <v>347</v>
      </c>
      <c r="K91">
        <f>Joinery!G10</f>
        <v>2667986</v>
      </c>
      <c r="L91" t="s">
        <v>105</v>
      </c>
      <c r="M91" s="89">
        <v>20.6</v>
      </c>
      <c r="N91" s="89">
        <v>41.3</v>
      </c>
      <c r="O91" s="9">
        <v>0</v>
      </c>
      <c r="P91" s="9">
        <v>0</v>
      </c>
      <c r="Q91" s="30">
        <v>0</v>
      </c>
      <c r="R91" s="16">
        <f t="shared" si="7"/>
        <v>46.152464722915937</v>
      </c>
      <c r="S91" s="30">
        <f t="shared" si="4"/>
        <v>0.46152464722915937</v>
      </c>
      <c r="T91" s="72" t="s">
        <v>435</v>
      </c>
    </row>
    <row r="92" spans="1:20">
      <c r="A92" s="14" t="s">
        <v>272</v>
      </c>
      <c r="B92" s="21" t="s">
        <v>5</v>
      </c>
      <c r="C92" s="21" t="s">
        <v>6</v>
      </c>
      <c r="D92" s="21" t="s">
        <v>16</v>
      </c>
      <c r="E92" s="21" t="s">
        <v>38</v>
      </c>
      <c r="F92" s="21"/>
      <c r="G92" s="90">
        <f t="shared" si="5"/>
        <v>4881280.920770878</v>
      </c>
      <c r="H92">
        <f>Joinery!E15+Joinery!E17+Joinery!E19+Joinery!E21</f>
        <v>4881.2809207708779</v>
      </c>
      <c r="I92" s="85" t="s">
        <v>467</v>
      </c>
      <c r="J92" s="40" t="s">
        <v>347</v>
      </c>
      <c r="K92">
        <f>Joinery!G15+Joinery!G17+Joinery!G19+Joinery!G21</f>
        <v>2505009</v>
      </c>
      <c r="L92" s="40" t="s">
        <v>105</v>
      </c>
      <c r="M92" s="89">
        <v>20.6</v>
      </c>
      <c r="N92" s="89">
        <v>41.3</v>
      </c>
      <c r="O92" s="9">
        <v>0</v>
      </c>
      <c r="P92" s="9">
        <v>0</v>
      </c>
      <c r="Q92" s="30">
        <v>0</v>
      </c>
      <c r="R92" s="16">
        <f t="shared" si="7"/>
        <v>46.152464722915937</v>
      </c>
      <c r="S92" s="30">
        <f t="shared" si="4"/>
        <v>0.46152464722915937</v>
      </c>
      <c r="T92" s="72" t="s">
        <v>435</v>
      </c>
    </row>
    <row r="93" spans="1:20">
      <c r="A93" s="14" t="s">
        <v>273</v>
      </c>
      <c r="B93" s="21" t="s">
        <v>5</v>
      </c>
      <c r="C93" s="21" t="s">
        <v>6</v>
      </c>
      <c r="D93" s="21" t="s">
        <v>16</v>
      </c>
      <c r="E93" s="21" t="s">
        <v>39</v>
      </c>
      <c r="F93" s="21"/>
      <c r="G93" s="90">
        <f t="shared" si="5"/>
        <v>21977751.605995718</v>
      </c>
      <c r="H93">
        <f>'Other objects'!E20+'Other objects'!E26</f>
        <v>21977.75160599572</v>
      </c>
      <c r="I93" s="85" t="s">
        <v>467</v>
      </c>
      <c r="J93" s="40" t="s">
        <v>342</v>
      </c>
      <c r="K93">
        <f>'Other objects'!G10+'Other objects'!G20+'Other objects'!G26</f>
        <v>10263610</v>
      </c>
      <c r="L93" s="40" t="s">
        <v>105</v>
      </c>
      <c r="M93" s="30">
        <v>2.2999999999999998</v>
      </c>
      <c r="N93" s="61">
        <v>13.7</v>
      </c>
      <c r="O93" s="9">
        <v>4.5</v>
      </c>
      <c r="P93" s="9">
        <v>0</v>
      </c>
      <c r="Q93" s="30">
        <v>0</v>
      </c>
      <c r="R93" s="16">
        <f t="shared" si="7"/>
        <v>14.602397063496115</v>
      </c>
      <c r="S93" s="30">
        <f t="shared" si="4"/>
        <v>0.14602397063496114</v>
      </c>
      <c r="T93" s="72" t="s">
        <v>435</v>
      </c>
    </row>
    <row r="94" spans="1:20">
      <c r="A94" s="14" t="s">
        <v>274</v>
      </c>
      <c r="B94" s="53" t="s">
        <v>5</v>
      </c>
      <c r="C94" s="53" t="s">
        <v>6</v>
      </c>
      <c r="D94" s="53" t="s">
        <v>13</v>
      </c>
      <c r="E94" s="53" t="s">
        <v>38</v>
      </c>
      <c r="F94" s="53"/>
      <c r="G94" s="90">
        <f t="shared" si="5"/>
        <v>96062184.154175594</v>
      </c>
      <c r="H94" s="53">
        <f>Joinery!E4+Joinery!E5</f>
        <v>96062.1841541756</v>
      </c>
      <c r="I94" s="85" t="s">
        <v>467</v>
      </c>
      <c r="J94" s="53" t="s">
        <v>342</v>
      </c>
      <c r="K94" s="53">
        <f>Joinery!G4+Joinery!G5</f>
        <v>65016</v>
      </c>
      <c r="L94" s="53" t="s">
        <v>139</v>
      </c>
      <c r="M94" s="53">
        <v>2.2999999999999998</v>
      </c>
      <c r="N94" s="89">
        <v>41.3</v>
      </c>
      <c r="O94" s="64">
        <v>4.5</v>
      </c>
      <c r="P94" s="9">
        <v>0</v>
      </c>
      <c r="Q94" s="53">
        <v>0</v>
      </c>
      <c r="R94" s="16">
        <f t="shared" ref="R94" si="10">SQRT(M94^2+N94^2+O94^2+P94^2+Q94^2)</f>
        <v>41.608052105331723</v>
      </c>
      <c r="S94" s="53">
        <f t="shared" ref="S94" si="11">R94/100</f>
        <v>0.41608052105331722</v>
      </c>
      <c r="T94" s="72" t="s">
        <v>435</v>
      </c>
    </row>
    <row r="95" spans="1:20">
      <c r="A95" s="14" t="s">
        <v>275</v>
      </c>
      <c r="B95" s="55" t="s">
        <v>5</v>
      </c>
      <c r="C95" s="55" t="s">
        <v>6</v>
      </c>
      <c r="D95" s="55" t="s">
        <v>7</v>
      </c>
      <c r="E95" s="55" t="s">
        <v>179</v>
      </c>
      <c r="F95" s="55"/>
      <c r="G95" s="90">
        <f t="shared" si="5"/>
        <v>176278865.09635976</v>
      </c>
      <c r="H95" s="55">
        <f>'Other objects'!E34</f>
        <v>176278.86509635975</v>
      </c>
      <c r="I95" s="85" t="s">
        <v>467</v>
      </c>
      <c r="J95" s="55" t="s">
        <v>94</v>
      </c>
      <c r="K95" s="55">
        <f>'Other objects'!G34</f>
        <v>82322230</v>
      </c>
      <c r="L95" s="55" t="s">
        <v>105</v>
      </c>
      <c r="M95" s="55">
        <v>2.2999999999999998</v>
      </c>
      <c r="N95" s="55">
        <v>0</v>
      </c>
      <c r="O95" s="9">
        <v>4.5</v>
      </c>
      <c r="P95" s="9">
        <v>0</v>
      </c>
      <c r="Q95" s="55">
        <v>0</v>
      </c>
      <c r="R95" s="16">
        <f t="shared" ref="R95" si="12">SQRT(M95^2+N95^2+O95^2+P95^2+Q95^2)</f>
        <v>5.0537115073973107</v>
      </c>
      <c r="S95" s="55">
        <f t="shared" ref="S95" si="13">R95/100</f>
        <v>5.0537115073973106E-2</v>
      </c>
      <c r="T95" s="72" t="s">
        <v>435</v>
      </c>
    </row>
    <row r="96" spans="1:20">
      <c r="A96" s="14" t="s">
        <v>276</v>
      </c>
      <c r="B96" s="9" t="s">
        <v>5</v>
      </c>
      <c r="C96" s="9" t="s">
        <v>6</v>
      </c>
      <c r="D96" s="9" t="s">
        <v>17</v>
      </c>
      <c r="E96" s="9" t="s">
        <v>387</v>
      </c>
      <c r="F96" s="9"/>
      <c r="G96" s="90">
        <f t="shared" si="5"/>
        <v>0</v>
      </c>
      <c r="H96" s="9">
        <f>(Furniture!N38+Furniture!O38)/2</f>
        <v>0</v>
      </c>
      <c r="I96" s="85" t="s">
        <v>467</v>
      </c>
      <c r="J96" s="9" t="s">
        <v>95</v>
      </c>
      <c r="K96" s="7">
        <f>Furniture!G35</f>
        <v>0</v>
      </c>
      <c r="L96" s="59" t="s">
        <v>53</v>
      </c>
      <c r="M96" s="59">
        <v>2.2999999999999998</v>
      </c>
      <c r="N96" s="67">
        <v>13.7</v>
      </c>
      <c r="O96" s="9">
        <v>0</v>
      </c>
      <c r="P96" s="9">
        <v>0</v>
      </c>
      <c r="Q96" s="59">
        <v>0</v>
      </c>
      <c r="R96" s="16">
        <f t="shared" ref="R96:R97" si="14">SQRT(M96^2+N96^2+O96^2+P96^2+Q96^2)</f>
        <v>13.891724155050012</v>
      </c>
      <c r="S96" s="59">
        <f t="shared" ref="S96:S97" si="15">R96/100</f>
        <v>0.13891724155050011</v>
      </c>
      <c r="T96" s="67" t="s">
        <v>434</v>
      </c>
    </row>
    <row r="97" spans="1:20">
      <c r="A97" s="14" t="s">
        <v>277</v>
      </c>
      <c r="B97" s="9" t="s">
        <v>5</v>
      </c>
      <c r="C97" s="9" t="s">
        <v>6</v>
      </c>
      <c r="D97" s="9" t="s">
        <v>7</v>
      </c>
      <c r="E97" s="9" t="s">
        <v>385</v>
      </c>
      <c r="F97" s="9"/>
      <c r="G97" s="90">
        <f t="shared" si="5"/>
        <v>534065920.77087796</v>
      </c>
      <c r="H97" s="38">
        <f>Furniture!E20</f>
        <v>534065.92077087797</v>
      </c>
      <c r="I97" s="85" t="s">
        <v>467</v>
      </c>
      <c r="J97" s="9" t="s">
        <v>95</v>
      </c>
      <c r="K97" s="7">
        <f>Furniture!I19</f>
        <v>15849916</v>
      </c>
      <c r="L97" s="59" t="s">
        <v>105</v>
      </c>
      <c r="M97" s="59">
        <v>2.2999999999999998</v>
      </c>
      <c r="N97" s="67">
        <v>13.7</v>
      </c>
      <c r="O97" s="9">
        <v>0</v>
      </c>
      <c r="P97" s="9">
        <v>0</v>
      </c>
      <c r="Q97" s="59">
        <v>0</v>
      </c>
      <c r="R97" s="16">
        <f t="shared" si="14"/>
        <v>13.891724155050012</v>
      </c>
      <c r="S97" s="59">
        <f t="shared" si="15"/>
        <v>0.13891724155050011</v>
      </c>
      <c r="T97" s="67" t="s">
        <v>434</v>
      </c>
    </row>
    <row r="98" spans="1:20" ht="17.399999999999999" customHeight="1">
      <c r="A98" s="14" t="s">
        <v>278</v>
      </c>
      <c r="B98" s="9" t="s">
        <v>5</v>
      </c>
      <c r="C98" s="9" t="s">
        <v>6</v>
      </c>
      <c r="D98" s="9" t="s">
        <v>16</v>
      </c>
      <c r="E98" s="9" t="s">
        <v>385</v>
      </c>
      <c r="F98" s="9"/>
      <c r="G98" s="90">
        <f t="shared" si="5"/>
        <v>18302985.010706637</v>
      </c>
      <c r="H98" s="38">
        <f>Furniture!E21</f>
        <v>18302.985010706638</v>
      </c>
      <c r="I98" s="85" t="s">
        <v>467</v>
      </c>
      <c r="J98" s="9" t="s">
        <v>95</v>
      </c>
      <c r="K98" s="7">
        <f>Furniture!I20</f>
        <v>249408785</v>
      </c>
      <c r="L98" s="59" t="s">
        <v>105</v>
      </c>
      <c r="M98" s="59">
        <v>2.2999999999999998</v>
      </c>
      <c r="N98" s="61">
        <v>13.7</v>
      </c>
      <c r="O98" s="9">
        <v>0</v>
      </c>
      <c r="P98" s="9">
        <v>0</v>
      </c>
      <c r="Q98" s="59">
        <v>0</v>
      </c>
      <c r="R98" s="16">
        <f t="shared" ref="R98:R101" si="16">SQRT(M98^2+N98^2+O98^2+P98^2+Q98^2)</f>
        <v>13.891724155050012</v>
      </c>
      <c r="S98" s="59">
        <f t="shared" ref="S98:S101" si="17">R98/100</f>
        <v>0.13891724155050011</v>
      </c>
      <c r="T98" s="67" t="s">
        <v>439</v>
      </c>
    </row>
    <row r="99" spans="1:20" s="59" customFormat="1" ht="17.399999999999999" customHeight="1">
      <c r="A99" s="14" t="s">
        <v>279</v>
      </c>
      <c r="B99" s="9" t="s">
        <v>5</v>
      </c>
      <c r="C99" s="9" t="s">
        <v>6</v>
      </c>
      <c r="D99" s="9" t="s">
        <v>17</v>
      </c>
      <c r="E99" s="9" t="s">
        <v>385</v>
      </c>
      <c r="F99" s="9"/>
      <c r="G99" s="90">
        <f t="shared" si="5"/>
        <v>525573565.31049252</v>
      </c>
      <c r="H99" s="64">
        <f>Furniture!E6</f>
        <v>525573.56531049253</v>
      </c>
      <c r="I99" s="85" t="s">
        <v>467</v>
      </c>
      <c r="J99" s="9" t="s">
        <v>95</v>
      </c>
      <c r="K99" s="7">
        <f>Furniture!G6</f>
        <v>5775126</v>
      </c>
      <c r="L99" s="59" t="s">
        <v>53</v>
      </c>
      <c r="M99" s="59">
        <v>2.2999999999999998</v>
      </c>
      <c r="N99" s="61">
        <v>13.7</v>
      </c>
      <c r="O99" s="9">
        <v>0</v>
      </c>
      <c r="P99" s="9">
        <v>0</v>
      </c>
      <c r="Q99" s="59">
        <v>0</v>
      </c>
      <c r="R99" s="16">
        <f t="shared" ref="R99" si="18">SQRT(M99^2+N99^2+O99^2+P99^2+Q99^2)</f>
        <v>13.891724155050012</v>
      </c>
      <c r="S99" s="59">
        <f t="shared" ref="S99" si="19">R99/100</f>
        <v>0.13891724155050011</v>
      </c>
      <c r="T99" s="67" t="s">
        <v>439</v>
      </c>
    </row>
    <row r="100" spans="1:20">
      <c r="A100" s="14" t="s">
        <v>420</v>
      </c>
      <c r="B100" s="9" t="s">
        <v>5</v>
      </c>
      <c r="C100" s="9" t="s">
        <v>6</v>
      </c>
      <c r="D100" s="9" t="s">
        <v>7</v>
      </c>
      <c r="E100" s="9" t="s">
        <v>389</v>
      </c>
      <c r="F100" s="9"/>
      <c r="G100" s="90">
        <f t="shared" si="5"/>
        <v>97888655.246252671</v>
      </c>
      <c r="H100" s="64">
        <f>Furniture!E18</f>
        <v>97888.655246252674</v>
      </c>
      <c r="I100" s="85" t="s">
        <v>467</v>
      </c>
      <c r="J100" s="9" t="s">
        <v>95</v>
      </c>
      <c r="K100" s="7">
        <f>Furniture!I18</f>
        <v>45714002</v>
      </c>
      <c r="L100" s="59" t="s">
        <v>105</v>
      </c>
      <c r="M100" s="59">
        <v>2.2999999999999998</v>
      </c>
      <c r="N100" s="61">
        <v>13.7</v>
      </c>
      <c r="O100" s="9">
        <v>0</v>
      </c>
      <c r="P100" s="9">
        <v>0</v>
      </c>
      <c r="Q100" s="59">
        <v>0</v>
      </c>
      <c r="R100" s="16">
        <f t="shared" si="16"/>
        <v>13.891724155050012</v>
      </c>
      <c r="S100" s="59">
        <f t="shared" si="17"/>
        <v>0.13891724155050011</v>
      </c>
      <c r="T100" s="67" t="s">
        <v>439</v>
      </c>
    </row>
    <row r="101" spans="1:20">
      <c r="A101" s="14" t="s">
        <v>356</v>
      </c>
      <c r="B101" s="9" t="s">
        <v>5</v>
      </c>
      <c r="C101" s="9" t="s">
        <v>6</v>
      </c>
      <c r="D101" s="9" t="s">
        <v>16</v>
      </c>
      <c r="E101" s="9" t="s">
        <v>389</v>
      </c>
      <c r="F101" s="9"/>
      <c r="G101" s="90">
        <f t="shared" si="5"/>
        <v>33939862.955032118</v>
      </c>
      <c r="H101" s="64">
        <f>Furniture!E19</f>
        <v>33939.86295503212</v>
      </c>
      <c r="I101" s="85" t="s">
        <v>467</v>
      </c>
      <c r="J101" s="9" t="s">
        <v>95</v>
      </c>
      <c r="K101" s="7">
        <f>Furniture!I19</f>
        <v>15849916</v>
      </c>
      <c r="L101" s="59" t="s">
        <v>105</v>
      </c>
      <c r="M101" s="59">
        <v>2.2999999999999998</v>
      </c>
      <c r="N101" s="61">
        <v>13.7</v>
      </c>
      <c r="O101" s="9">
        <v>0</v>
      </c>
      <c r="P101" s="9">
        <v>0</v>
      </c>
      <c r="Q101" s="59">
        <v>0</v>
      </c>
      <c r="R101" s="16">
        <f t="shared" si="16"/>
        <v>13.891724155050012</v>
      </c>
      <c r="S101" s="59">
        <f t="shared" si="17"/>
        <v>0.13891724155050011</v>
      </c>
      <c r="T101" s="67" t="s">
        <v>439</v>
      </c>
    </row>
    <row r="102" spans="1:20">
      <c r="A102" s="14" t="s">
        <v>371</v>
      </c>
      <c r="B102" s="9" t="s">
        <v>5</v>
      </c>
      <c r="C102" s="9" t="s">
        <v>6</v>
      </c>
      <c r="D102" s="9" t="s">
        <v>13</v>
      </c>
      <c r="E102" s="9" t="s">
        <v>389</v>
      </c>
      <c r="F102" s="9" t="s">
        <v>401</v>
      </c>
      <c r="G102" s="90">
        <f t="shared" si="5"/>
        <v>3270810299.7858672</v>
      </c>
      <c r="H102" s="64">
        <f>Furniture!E5</f>
        <v>3270810.2997858673</v>
      </c>
      <c r="I102" s="85" t="s">
        <v>467</v>
      </c>
      <c r="J102" s="9" t="s">
        <v>95</v>
      </c>
      <c r="K102" s="7">
        <f>Furniture!G5</f>
        <v>46999028</v>
      </c>
      <c r="L102" s="59" t="s">
        <v>53</v>
      </c>
      <c r="M102" s="59">
        <v>2.2999999999999998</v>
      </c>
      <c r="N102" s="61">
        <v>13.7</v>
      </c>
      <c r="O102" s="9">
        <v>0</v>
      </c>
      <c r="P102" s="9">
        <v>0</v>
      </c>
      <c r="Q102" s="59">
        <v>0</v>
      </c>
      <c r="R102" s="16">
        <f t="shared" ref="R102" si="20">SQRT(M102^2+N102^2+O102^2+P102^2+Q102^2)</f>
        <v>13.891724155050012</v>
      </c>
      <c r="S102" s="59">
        <f t="shared" ref="S102" si="21">R102/100</f>
        <v>0.13891724155050011</v>
      </c>
      <c r="T102" s="67" t="s">
        <v>439</v>
      </c>
    </row>
    <row r="103" spans="1:20">
      <c r="A103" s="14" t="s">
        <v>383</v>
      </c>
      <c r="B103" s="9" t="s">
        <v>5</v>
      </c>
      <c r="C103" s="9" t="s">
        <v>6</v>
      </c>
      <c r="D103" s="9" t="s">
        <v>7</v>
      </c>
      <c r="E103" s="9" t="s">
        <v>394</v>
      </c>
      <c r="F103" s="9"/>
      <c r="G103" s="90">
        <f t="shared" si="5"/>
        <v>98885955.032119915</v>
      </c>
      <c r="H103" s="64">
        <f>Furniture!E16</f>
        <v>98885.95503211992</v>
      </c>
      <c r="I103" s="85" t="s">
        <v>467</v>
      </c>
      <c r="J103" s="9" t="s">
        <v>95</v>
      </c>
      <c r="K103" s="7">
        <f>Furniture!I16</f>
        <v>46179741</v>
      </c>
      <c r="L103" s="59" t="s">
        <v>105</v>
      </c>
      <c r="M103" s="59">
        <v>2.2999999999999998</v>
      </c>
      <c r="N103" s="61">
        <v>13.7</v>
      </c>
      <c r="O103" s="9">
        <v>0</v>
      </c>
      <c r="P103" s="9">
        <v>0</v>
      </c>
      <c r="Q103" s="59">
        <v>0</v>
      </c>
      <c r="R103" s="16">
        <f t="shared" ref="R103:R104" si="22">SQRT(M103^2+N103^2+O103^2+P103^2+Q103^2)</f>
        <v>13.891724155050012</v>
      </c>
      <c r="S103" s="59">
        <f t="shared" ref="S103:S104" si="23">R103/100</f>
        <v>0.13891724155050011</v>
      </c>
      <c r="T103" s="67" t="s">
        <v>439</v>
      </c>
    </row>
    <row r="104" spans="1:20">
      <c r="A104" s="14" t="s">
        <v>386</v>
      </c>
      <c r="B104" s="9" t="s">
        <v>5</v>
      </c>
      <c r="C104" s="9" t="s">
        <v>6</v>
      </c>
      <c r="D104" s="9" t="s">
        <v>16</v>
      </c>
      <c r="E104" s="9" t="s">
        <v>394</v>
      </c>
      <c r="F104" s="9"/>
      <c r="G104" s="90">
        <f t="shared" si="5"/>
        <v>30116306.209850106</v>
      </c>
      <c r="H104" s="64">
        <f>Furniture!E17</f>
        <v>30116.306209850107</v>
      </c>
      <c r="I104" s="85" t="s">
        <v>467</v>
      </c>
      <c r="J104" s="9" t="s">
        <v>95</v>
      </c>
      <c r="K104" s="7">
        <f>Furniture!I17</f>
        <v>14064315</v>
      </c>
      <c r="L104" s="59" t="s">
        <v>105</v>
      </c>
      <c r="M104" s="59">
        <v>2.2999999999999998</v>
      </c>
      <c r="N104" s="61">
        <v>13.7</v>
      </c>
      <c r="O104" s="9">
        <v>0</v>
      </c>
      <c r="P104" s="9">
        <v>0</v>
      </c>
      <c r="Q104" s="59">
        <v>0</v>
      </c>
      <c r="R104" s="16">
        <f t="shared" si="22"/>
        <v>13.891724155050012</v>
      </c>
      <c r="S104" s="59">
        <f t="shared" si="23"/>
        <v>0.13891724155050011</v>
      </c>
      <c r="T104" s="67" t="s">
        <v>439</v>
      </c>
    </row>
    <row r="105" spans="1:20">
      <c r="A105" s="14" t="s">
        <v>388</v>
      </c>
      <c r="B105" s="9" t="s">
        <v>5</v>
      </c>
      <c r="C105" s="9" t="s">
        <v>6</v>
      </c>
      <c r="D105" s="9" t="s">
        <v>17</v>
      </c>
      <c r="E105" s="9" t="s">
        <v>394</v>
      </c>
      <c r="F105" s="9"/>
      <c r="G105" s="90">
        <f t="shared" si="5"/>
        <v>397581263.38329768</v>
      </c>
      <c r="H105" s="64">
        <f>Furniture!E2</f>
        <v>397581.26338329766</v>
      </c>
      <c r="I105" s="85" t="s">
        <v>467</v>
      </c>
      <c r="J105" s="9" t="s">
        <v>95</v>
      </c>
      <c r="K105" s="7">
        <f>Furniture!G2</f>
        <v>5304870</v>
      </c>
      <c r="L105" s="59" t="s">
        <v>53</v>
      </c>
      <c r="M105" s="59">
        <v>2.2999999999999998</v>
      </c>
      <c r="N105" s="61">
        <v>13.7</v>
      </c>
      <c r="O105" s="9">
        <v>0</v>
      </c>
      <c r="P105" s="9">
        <v>0</v>
      </c>
      <c r="Q105" s="59">
        <v>0</v>
      </c>
      <c r="R105" s="16">
        <f t="shared" ref="R105:R108" si="24">SQRT(M105^2+N105^2+O105^2+P105^2+Q105^2)</f>
        <v>13.891724155050012</v>
      </c>
      <c r="S105" s="59">
        <f t="shared" ref="S105:S108" si="25">R105/100</f>
        <v>0.13891724155050011</v>
      </c>
      <c r="T105" s="67" t="s">
        <v>439</v>
      </c>
    </row>
    <row r="106" spans="1:20">
      <c r="A106" s="14" t="s">
        <v>390</v>
      </c>
      <c r="B106" s="9" t="s">
        <v>5</v>
      </c>
      <c r="C106" s="9" t="s">
        <v>6</v>
      </c>
      <c r="D106" s="9" t="s">
        <v>7</v>
      </c>
      <c r="E106" s="9" t="s">
        <v>395</v>
      </c>
      <c r="F106" s="9"/>
      <c r="G106" s="90">
        <f t="shared" si="5"/>
        <v>1416840796.5738757</v>
      </c>
      <c r="H106" s="64">
        <f>Furniture!E22</f>
        <v>1416840.7965738757</v>
      </c>
      <c r="I106" s="85" t="s">
        <v>467</v>
      </c>
      <c r="J106" s="9" t="s">
        <v>95</v>
      </c>
      <c r="K106" s="7">
        <f>Furniture!I22</f>
        <v>661664652</v>
      </c>
      <c r="L106" s="59" t="s">
        <v>105</v>
      </c>
      <c r="M106" s="59">
        <v>2.2999999999999998</v>
      </c>
      <c r="N106" s="61">
        <v>13.7</v>
      </c>
      <c r="O106" s="9">
        <v>0</v>
      </c>
      <c r="P106" s="9">
        <v>0</v>
      </c>
      <c r="Q106" s="59">
        <v>0</v>
      </c>
      <c r="R106" s="16">
        <f t="shared" si="24"/>
        <v>13.891724155050012</v>
      </c>
      <c r="S106" s="59">
        <f t="shared" si="25"/>
        <v>0.13891724155050011</v>
      </c>
      <c r="T106" s="67" t="s">
        <v>439</v>
      </c>
    </row>
    <row r="107" spans="1:20">
      <c r="A107" s="14" t="s">
        <v>391</v>
      </c>
      <c r="B107" s="9" t="s">
        <v>5</v>
      </c>
      <c r="C107" s="9" t="s">
        <v>6</v>
      </c>
      <c r="D107" s="9" t="s">
        <v>16</v>
      </c>
      <c r="E107" s="9" t="s">
        <v>395</v>
      </c>
      <c r="F107" s="9"/>
      <c r="G107" s="90">
        <f t="shared" si="5"/>
        <v>112819014.98929335</v>
      </c>
      <c r="H107" s="64">
        <f>Furniture!E23</f>
        <v>112819.01498929336</v>
      </c>
      <c r="I107" s="85" t="s">
        <v>467</v>
      </c>
      <c r="J107" s="9" t="s">
        <v>95</v>
      </c>
      <c r="K107" s="7">
        <f>Furniture!I23</f>
        <v>52686480</v>
      </c>
      <c r="L107" s="59" t="s">
        <v>105</v>
      </c>
      <c r="M107" s="59">
        <v>2.2999999999999998</v>
      </c>
      <c r="N107" s="61">
        <v>13.7</v>
      </c>
      <c r="O107" s="9">
        <v>0</v>
      </c>
      <c r="P107" s="9">
        <v>0</v>
      </c>
      <c r="Q107" s="59">
        <v>0</v>
      </c>
      <c r="R107" s="16">
        <f t="shared" si="24"/>
        <v>13.891724155050012</v>
      </c>
      <c r="S107" s="59">
        <f t="shared" si="25"/>
        <v>0.13891724155050011</v>
      </c>
      <c r="T107" s="67" t="s">
        <v>439</v>
      </c>
    </row>
    <row r="108" spans="1:20">
      <c r="A108" s="14" t="s">
        <v>392</v>
      </c>
      <c r="B108" s="9" t="s">
        <v>5</v>
      </c>
      <c r="C108" s="9" t="s">
        <v>6</v>
      </c>
      <c r="D108" s="9" t="s">
        <v>17</v>
      </c>
      <c r="E108" s="9" t="s">
        <v>395</v>
      </c>
      <c r="F108" s="9"/>
      <c r="G108" s="90">
        <f t="shared" si="5"/>
        <v>322673743.04068518</v>
      </c>
      <c r="H108" s="64">
        <f>Furniture!E7+Furniture!E8+Furniture!E3</f>
        <v>322673.74304068519</v>
      </c>
      <c r="I108" s="85" t="s">
        <v>467</v>
      </c>
      <c r="J108" s="9" t="s">
        <v>95</v>
      </c>
      <c r="K108" s="7">
        <f>Furniture!G8+Furniture!G3+Furniture!G7</f>
        <v>4840600</v>
      </c>
      <c r="L108" s="59" t="s">
        <v>53</v>
      </c>
      <c r="M108" s="59">
        <v>2.2999999999999998</v>
      </c>
      <c r="N108" s="61">
        <v>13.7</v>
      </c>
      <c r="O108" s="9">
        <v>0</v>
      </c>
      <c r="P108" s="9">
        <v>0</v>
      </c>
      <c r="Q108" s="59">
        <v>0</v>
      </c>
      <c r="R108" s="16">
        <f t="shared" si="24"/>
        <v>13.891724155050012</v>
      </c>
      <c r="S108" s="59">
        <f t="shared" si="25"/>
        <v>0.13891724155050011</v>
      </c>
      <c r="T108" s="67" t="s">
        <v>439</v>
      </c>
    </row>
    <row r="109" spans="1:20">
      <c r="A109" s="14" t="s">
        <v>393</v>
      </c>
      <c r="B109" s="9" t="s">
        <v>5</v>
      </c>
      <c r="C109" s="9" t="s">
        <v>6</v>
      </c>
      <c r="D109" s="9" t="s">
        <v>7</v>
      </c>
      <c r="E109" s="9" t="s">
        <v>396</v>
      </c>
      <c r="F109" s="9"/>
      <c r="G109" s="90">
        <f t="shared" si="5"/>
        <v>436218038.54389721</v>
      </c>
      <c r="H109" s="64">
        <f>Furniture!E12+Furniture!E14</f>
        <v>436218.03854389722</v>
      </c>
      <c r="I109" s="85" t="s">
        <v>467</v>
      </c>
      <c r="J109" s="9" t="s">
        <v>95</v>
      </c>
      <c r="K109" s="7">
        <f>Furniture!I12+Furniture!I14</f>
        <v>203713824</v>
      </c>
      <c r="L109" s="59" t="s">
        <v>105</v>
      </c>
      <c r="M109" s="59">
        <v>2.2999999999999998</v>
      </c>
      <c r="N109" s="61">
        <v>13.7</v>
      </c>
      <c r="O109" s="9">
        <v>0</v>
      </c>
      <c r="P109" s="9">
        <v>0</v>
      </c>
      <c r="Q109" s="59">
        <v>0</v>
      </c>
      <c r="R109" s="16">
        <f t="shared" ref="R109:R111" si="26">SQRT(M109^2+N109^2+O109^2+P109^2+Q109^2)</f>
        <v>13.891724155050012</v>
      </c>
      <c r="S109" s="59">
        <f t="shared" ref="S109:S111" si="27">R109/100</f>
        <v>0.13891724155050011</v>
      </c>
      <c r="T109" s="67" t="s">
        <v>439</v>
      </c>
    </row>
    <row r="110" spans="1:20">
      <c r="A110" s="14" t="s">
        <v>397</v>
      </c>
      <c r="B110" s="9" t="s">
        <v>5</v>
      </c>
      <c r="C110" s="9" t="s">
        <v>6</v>
      </c>
      <c r="D110" s="9" t="s">
        <v>16</v>
      </c>
      <c r="E110" s="9" t="s">
        <v>396</v>
      </c>
      <c r="F110" s="9"/>
      <c r="G110" s="90">
        <f t="shared" si="5"/>
        <v>89941865.096359745</v>
      </c>
      <c r="H110" s="64">
        <f>Furniture!E13+Furniture!E15</f>
        <v>89941.865096359747</v>
      </c>
      <c r="I110" s="85" t="s">
        <v>467</v>
      </c>
      <c r="J110" s="9" t="s">
        <v>95</v>
      </c>
      <c r="K110" s="7">
        <f>Furniture!I13+Furniture!I15</f>
        <v>42002851</v>
      </c>
      <c r="L110" s="59" t="s">
        <v>105</v>
      </c>
      <c r="M110" s="59">
        <v>2.2999999999999998</v>
      </c>
      <c r="N110" s="61">
        <v>13.7</v>
      </c>
      <c r="O110" s="9">
        <v>0</v>
      </c>
      <c r="P110" s="9">
        <v>0</v>
      </c>
      <c r="Q110" s="59">
        <v>0</v>
      </c>
      <c r="R110" s="16">
        <f t="shared" si="26"/>
        <v>13.891724155050012</v>
      </c>
      <c r="S110" s="59">
        <f t="shared" si="27"/>
        <v>0.13891724155050011</v>
      </c>
      <c r="T110" s="67" t="s">
        <v>439</v>
      </c>
    </row>
    <row r="111" spans="1:20">
      <c r="A111" s="14" t="s">
        <v>398</v>
      </c>
      <c r="B111" s="9" t="s">
        <v>5</v>
      </c>
      <c r="C111" s="9" t="s">
        <v>6</v>
      </c>
      <c r="D111" s="9" t="s">
        <v>17</v>
      </c>
      <c r="E111" s="9" t="s">
        <v>396</v>
      </c>
      <c r="F111" s="9"/>
      <c r="G111" s="90">
        <f t="shared" si="5"/>
        <v>7198111.3490364021</v>
      </c>
      <c r="H111" s="64">
        <f>Furniture!E4</f>
        <v>7198.1113490364023</v>
      </c>
      <c r="I111" s="85" t="s">
        <v>467</v>
      </c>
      <c r="J111" s="9" t="s">
        <v>95</v>
      </c>
      <c r="K111" s="7">
        <f>Furniture!G4</f>
        <v>176922</v>
      </c>
      <c r="L111" s="59" t="s">
        <v>53</v>
      </c>
      <c r="M111" s="59">
        <v>2.2999999999999998</v>
      </c>
      <c r="N111" s="61">
        <v>13.7</v>
      </c>
      <c r="O111" s="9">
        <v>0</v>
      </c>
      <c r="P111" s="9">
        <v>0</v>
      </c>
      <c r="Q111" s="59">
        <v>0</v>
      </c>
      <c r="R111" s="16">
        <f t="shared" si="26"/>
        <v>13.891724155050012</v>
      </c>
      <c r="S111" s="59">
        <f t="shared" si="27"/>
        <v>0.13891724155050011</v>
      </c>
      <c r="T111" s="67" t="s">
        <v>439</v>
      </c>
    </row>
    <row r="112" spans="1:20">
      <c r="A112" s="14" t="s">
        <v>399</v>
      </c>
      <c r="B112" s="67" t="s">
        <v>5</v>
      </c>
      <c r="C112" s="67" t="s">
        <v>6</v>
      </c>
      <c r="D112" s="67" t="s">
        <v>17</v>
      </c>
      <c r="E112" s="67" t="s">
        <v>21</v>
      </c>
      <c r="F112" s="67"/>
      <c r="G112" s="90">
        <f t="shared" si="5"/>
        <v>0</v>
      </c>
      <c r="H112" s="67">
        <v>0</v>
      </c>
      <c r="I112" s="85" t="s">
        <v>467</v>
      </c>
      <c r="L112" s="67" t="s">
        <v>58</v>
      </c>
      <c r="M112" s="92">
        <v>2.2999999999999998</v>
      </c>
      <c r="N112" s="92">
        <v>13.7</v>
      </c>
      <c r="O112" s="64">
        <v>0</v>
      </c>
      <c r="P112" s="64">
        <v>0</v>
      </c>
      <c r="Q112" s="92">
        <v>0</v>
      </c>
      <c r="R112" s="16">
        <f t="shared" ref="R112:R125" si="28">SQRT(M112^2+N112^2+O112^2+P112^2+Q112^2)</f>
        <v>13.891724155050012</v>
      </c>
      <c r="S112" s="92">
        <f t="shared" ref="S112:S125" si="29">R112/100</f>
        <v>0.13891724155050011</v>
      </c>
      <c r="T112" t="s">
        <v>423</v>
      </c>
    </row>
    <row r="113" spans="1:20">
      <c r="A113" s="14" t="s">
        <v>400</v>
      </c>
      <c r="B113" s="67" t="s">
        <v>5</v>
      </c>
      <c r="C113" s="67" t="s">
        <v>6</v>
      </c>
      <c r="D113" s="67" t="s">
        <v>17</v>
      </c>
      <c r="E113" s="67" t="s">
        <v>20</v>
      </c>
      <c r="F113" s="67"/>
      <c r="G113" s="90">
        <f t="shared" si="5"/>
        <v>0</v>
      </c>
      <c r="H113" s="67">
        <v>0</v>
      </c>
      <c r="I113" s="85" t="s">
        <v>467</v>
      </c>
      <c r="L113" s="67" t="s">
        <v>58</v>
      </c>
      <c r="M113" s="92">
        <v>2.2999999999999998</v>
      </c>
      <c r="N113" s="92">
        <v>13.7</v>
      </c>
      <c r="O113" s="64">
        <v>0</v>
      </c>
      <c r="P113" s="64">
        <v>0</v>
      </c>
      <c r="Q113" s="92">
        <v>0</v>
      </c>
      <c r="R113" s="16">
        <f t="shared" si="28"/>
        <v>13.891724155050012</v>
      </c>
      <c r="S113" s="92">
        <f t="shared" si="29"/>
        <v>0.13891724155050011</v>
      </c>
      <c r="T113" t="s">
        <v>423</v>
      </c>
    </row>
    <row r="114" spans="1:20">
      <c r="A114" s="14" t="s">
        <v>479</v>
      </c>
      <c r="B114" s="92" t="s">
        <v>5</v>
      </c>
      <c r="C114" s="92" t="s">
        <v>6</v>
      </c>
      <c r="D114" s="92" t="s">
        <v>7</v>
      </c>
      <c r="E114" s="92" t="s">
        <v>475</v>
      </c>
      <c r="F114" s="92"/>
      <c r="G114" s="92"/>
      <c r="H114" s="92">
        <v>81577738</v>
      </c>
      <c r="I114" s="92"/>
      <c r="J114" s="84"/>
      <c r="K114" s="7"/>
      <c r="L114" s="92" t="s">
        <v>476</v>
      </c>
      <c r="M114" s="92">
        <v>2.2999999999999998</v>
      </c>
      <c r="N114" s="92">
        <v>0</v>
      </c>
      <c r="O114" s="64">
        <v>0</v>
      </c>
      <c r="P114" s="64">
        <v>0</v>
      </c>
      <c r="Q114" s="92">
        <v>0</v>
      </c>
      <c r="R114" s="16">
        <f t="shared" si="28"/>
        <v>2.2999999999999998</v>
      </c>
      <c r="S114" s="92">
        <f t="shared" si="29"/>
        <v>2.3E-2</v>
      </c>
      <c r="T114" s="84"/>
    </row>
    <row r="115" spans="1:20">
      <c r="A115" s="14" t="s">
        <v>480</v>
      </c>
      <c r="B115" s="92" t="s">
        <v>5</v>
      </c>
      <c r="C115" s="92" t="s">
        <v>6</v>
      </c>
      <c r="D115" s="92" t="s">
        <v>16</v>
      </c>
      <c r="E115" s="92" t="s">
        <v>475</v>
      </c>
      <c r="F115" s="92"/>
      <c r="G115" s="92"/>
      <c r="H115" s="92">
        <v>6044053</v>
      </c>
      <c r="I115" s="92"/>
      <c r="J115" s="91"/>
      <c r="K115" s="7"/>
      <c r="L115" s="92" t="s">
        <v>476</v>
      </c>
      <c r="M115" s="92">
        <v>2.2999999999999998</v>
      </c>
      <c r="N115" s="92">
        <v>0</v>
      </c>
      <c r="O115" s="64">
        <v>0</v>
      </c>
      <c r="P115" s="64">
        <v>0</v>
      </c>
      <c r="Q115" s="92">
        <v>0</v>
      </c>
      <c r="R115" s="16">
        <f t="shared" si="28"/>
        <v>2.2999999999999998</v>
      </c>
      <c r="S115" s="92">
        <f t="shared" si="29"/>
        <v>2.3E-2</v>
      </c>
    </row>
    <row r="116" spans="1:20">
      <c r="A116" s="14" t="s">
        <v>481</v>
      </c>
      <c r="B116" s="92" t="s">
        <v>5</v>
      </c>
      <c r="C116" s="92" t="s">
        <v>6</v>
      </c>
      <c r="D116" s="92" t="s">
        <v>17</v>
      </c>
      <c r="E116" s="92" t="s">
        <v>477</v>
      </c>
      <c r="F116" s="92"/>
      <c r="G116" s="92"/>
      <c r="H116" s="92">
        <v>0</v>
      </c>
      <c r="L116" s="92" t="s">
        <v>476</v>
      </c>
      <c r="M116" s="92">
        <v>2.2999999999999998</v>
      </c>
      <c r="N116" s="92">
        <v>13.7</v>
      </c>
      <c r="O116" s="64">
        <v>0</v>
      </c>
      <c r="P116" s="64">
        <v>0</v>
      </c>
      <c r="Q116" s="92">
        <v>0</v>
      </c>
      <c r="R116" s="16">
        <f t="shared" si="28"/>
        <v>13.891724155050012</v>
      </c>
      <c r="S116" s="92">
        <f t="shared" si="29"/>
        <v>0.13891724155050011</v>
      </c>
    </row>
    <row r="117" spans="1:20">
      <c r="A117" s="14" t="s">
        <v>482</v>
      </c>
      <c r="B117" s="92" t="s">
        <v>5</v>
      </c>
      <c r="C117" s="92" t="s">
        <v>6</v>
      </c>
      <c r="D117" s="92" t="s">
        <v>7</v>
      </c>
      <c r="E117" s="92" t="s">
        <v>477</v>
      </c>
      <c r="F117" s="92"/>
      <c r="G117" s="92"/>
      <c r="H117" s="92">
        <v>10800811</v>
      </c>
      <c r="L117" s="92" t="s">
        <v>476</v>
      </c>
      <c r="M117" s="92">
        <v>2.2999999999999998</v>
      </c>
      <c r="N117" s="92">
        <v>13.7</v>
      </c>
      <c r="O117" s="64">
        <v>0</v>
      </c>
      <c r="P117" s="64">
        <v>0</v>
      </c>
      <c r="Q117" s="92">
        <v>0</v>
      </c>
      <c r="R117" s="16">
        <f t="shared" si="28"/>
        <v>13.891724155050012</v>
      </c>
      <c r="S117" s="92">
        <f t="shared" si="29"/>
        <v>0.13891724155050011</v>
      </c>
    </row>
    <row r="118" spans="1:20">
      <c r="A118" s="14" t="s">
        <v>483</v>
      </c>
      <c r="B118" s="92" t="s">
        <v>5</v>
      </c>
      <c r="C118" s="92" t="s">
        <v>6</v>
      </c>
      <c r="D118" s="92" t="s">
        <v>16</v>
      </c>
      <c r="E118" s="92" t="s">
        <v>477</v>
      </c>
      <c r="F118" s="92"/>
      <c r="G118" s="92"/>
      <c r="H118" s="92">
        <v>318654</v>
      </c>
      <c r="L118" s="92" t="s">
        <v>476</v>
      </c>
      <c r="M118" s="92">
        <v>2.2999999999999998</v>
      </c>
      <c r="N118" s="92">
        <v>13.7</v>
      </c>
      <c r="O118" s="64">
        <v>0</v>
      </c>
      <c r="P118" s="64">
        <v>0</v>
      </c>
      <c r="Q118" s="92">
        <v>0</v>
      </c>
      <c r="R118" s="16">
        <f t="shared" si="28"/>
        <v>13.891724155050012</v>
      </c>
      <c r="S118" s="92">
        <f t="shared" si="29"/>
        <v>0.13891724155050011</v>
      </c>
    </row>
    <row r="119" spans="1:20">
      <c r="A119" s="14" t="s">
        <v>484</v>
      </c>
      <c r="B119" s="92" t="s">
        <v>5</v>
      </c>
      <c r="C119" s="92" t="s">
        <v>6</v>
      </c>
      <c r="D119" s="92" t="s">
        <v>17</v>
      </c>
      <c r="E119" s="92" t="s">
        <v>478</v>
      </c>
      <c r="F119" s="92"/>
      <c r="G119" s="92"/>
      <c r="H119" s="92">
        <v>0</v>
      </c>
      <c r="L119" s="92" t="s">
        <v>476</v>
      </c>
      <c r="M119" s="92">
        <v>2.2999999999999998</v>
      </c>
      <c r="N119" s="92">
        <v>13.7</v>
      </c>
      <c r="O119" s="64">
        <v>0</v>
      </c>
      <c r="P119" s="64">
        <v>0</v>
      </c>
      <c r="Q119" s="92">
        <v>0</v>
      </c>
      <c r="R119" s="16">
        <f t="shared" si="28"/>
        <v>13.891724155050012</v>
      </c>
      <c r="S119" s="92">
        <f t="shared" si="29"/>
        <v>0.13891724155050011</v>
      </c>
    </row>
    <row r="120" spans="1:20">
      <c r="A120" s="14" t="s">
        <v>485</v>
      </c>
      <c r="B120" s="92" t="s">
        <v>5</v>
      </c>
      <c r="C120" s="92" t="s">
        <v>6</v>
      </c>
      <c r="D120" s="92" t="s">
        <v>7</v>
      </c>
      <c r="E120" s="92" t="s">
        <v>478</v>
      </c>
      <c r="F120" s="92"/>
      <c r="G120" s="92"/>
      <c r="H120" s="92">
        <v>106058394</v>
      </c>
      <c r="L120" s="92" t="s">
        <v>476</v>
      </c>
      <c r="M120" s="92">
        <v>2.2999999999999998</v>
      </c>
      <c r="N120" s="92">
        <v>13.7</v>
      </c>
      <c r="O120" s="64">
        <v>0</v>
      </c>
      <c r="P120" s="64">
        <v>0</v>
      </c>
      <c r="Q120" s="92">
        <v>0</v>
      </c>
      <c r="R120" s="16">
        <f t="shared" si="28"/>
        <v>13.891724155050012</v>
      </c>
      <c r="S120" s="92">
        <f t="shared" si="29"/>
        <v>0.13891724155050011</v>
      </c>
    </row>
    <row r="121" spans="1:20">
      <c r="A121" s="14" t="s">
        <v>486</v>
      </c>
      <c r="B121" s="92" t="s">
        <v>5</v>
      </c>
      <c r="C121" s="92" t="s">
        <v>6</v>
      </c>
      <c r="D121" s="92" t="s">
        <v>16</v>
      </c>
      <c r="E121" s="92" t="s">
        <v>478</v>
      </c>
      <c r="F121" s="92"/>
      <c r="G121" s="92"/>
      <c r="H121" s="92">
        <v>4238875</v>
      </c>
      <c r="L121" s="92" t="s">
        <v>476</v>
      </c>
      <c r="M121" s="92">
        <v>2.2999999999999998</v>
      </c>
      <c r="N121" s="92">
        <v>13.7</v>
      </c>
      <c r="O121" s="64">
        <v>0</v>
      </c>
      <c r="P121" s="64">
        <v>0</v>
      </c>
      <c r="Q121" s="92">
        <v>0</v>
      </c>
      <c r="R121" s="16">
        <f t="shared" si="28"/>
        <v>13.891724155050012</v>
      </c>
      <c r="S121" s="92">
        <f t="shared" si="29"/>
        <v>0.13891724155050011</v>
      </c>
    </row>
    <row r="122" spans="1:20">
      <c r="A122" s="14" t="s">
        <v>487</v>
      </c>
      <c r="B122" s="92" t="s">
        <v>5</v>
      </c>
      <c r="C122" s="92" t="s">
        <v>6</v>
      </c>
      <c r="D122" s="92" t="s">
        <v>7</v>
      </c>
      <c r="E122" s="92" t="s">
        <v>473</v>
      </c>
      <c r="F122" s="92"/>
      <c r="G122" s="92"/>
      <c r="H122" s="92">
        <v>38739544</v>
      </c>
      <c r="L122" s="92" t="s">
        <v>476</v>
      </c>
      <c r="M122" s="92">
        <v>2.2999999999999998</v>
      </c>
      <c r="N122" s="92">
        <v>13.7</v>
      </c>
      <c r="O122" s="64">
        <v>0</v>
      </c>
      <c r="P122" s="64">
        <v>0</v>
      </c>
      <c r="Q122" s="92">
        <v>0</v>
      </c>
      <c r="R122" s="16">
        <f t="shared" si="28"/>
        <v>13.891724155050012</v>
      </c>
      <c r="S122" s="92">
        <f t="shared" si="29"/>
        <v>0.13891724155050011</v>
      </c>
    </row>
    <row r="123" spans="1:20">
      <c r="A123" s="14" t="s">
        <v>488</v>
      </c>
      <c r="B123" s="92" t="s">
        <v>5</v>
      </c>
      <c r="C123" s="92" t="s">
        <v>6</v>
      </c>
      <c r="D123" s="92" t="s">
        <v>16</v>
      </c>
      <c r="E123" s="92" t="s">
        <v>473</v>
      </c>
      <c r="F123" s="92"/>
      <c r="G123" s="92"/>
      <c r="H123" s="92">
        <v>7608250</v>
      </c>
      <c r="L123" s="92" t="s">
        <v>476</v>
      </c>
      <c r="M123" s="92">
        <v>2.2999999999999998</v>
      </c>
      <c r="N123" s="92">
        <v>13.7</v>
      </c>
      <c r="O123" s="64">
        <v>0</v>
      </c>
      <c r="P123" s="64">
        <v>0</v>
      </c>
      <c r="Q123" s="92">
        <v>0</v>
      </c>
      <c r="R123" s="16">
        <f t="shared" si="28"/>
        <v>13.891724155050012</v>
      </c>
      <c r="S123" s="92">
        <f t="shared" si="29"/>
        <v>0.13891724155050011</v>
      </c>
    </row>
    <row r="124" spans="1:20">
      <c r="A124" s="14" t="s">
        <v>489</v>
      </c>
      <c r="B124" s="92" t="s">
        <v>5</v>
      </c>
      <c r="C124" s="92" t="s">
        <v>6</v>
      </c>
      <c r="D124" s="92" t="s">
        <v>7</v>
      </c>
      <c r="E124" s="92" t="s">
        <v>25</v>
      </c>
      <c r="F124" s="92"/>
      <c r="G124" s="92"/>
      <c r="H124" s="92">
        <v>19414768</v>
      </c>
      <c r="L124" s="92" t="s">
        <v>476</v>
      </c>
      <c r="M124" s="92">
        <v>2.2999999999999998</v>
      </c>
      <c r="N124" s="92">
        <v>2.2999999999999998</v>
      </c>
      <c r="O124" s="64">
        <v>0</v>
      </c>
      <c r="P124" s="64">
        <v>0</v>
      </c>
      <c r="Q124" s="92">
        <v>0</v>
      </c>
      <c r="R124" s="16">
        <f t="shared" si="28"/>
        <v>3.2526911934581184</v>
      </c>
      <c r="S124" s="92">
        <f t="shared" si="29"/>
        <v>3.2526911934581182E-2</v>
      </c>
    </row>
    <row r="125" spans="1:20">
      <c r="A125" s="14" t="s">
        <v>490</v>
      </c>
      <c r="B125" s="92" t="s">
        <v>5</v>
      </c>
      <c r="C125" s="92" t="s">
        <v>6</v>
      </c>
      <c r="D125" s="92" t="s">
        <v>16</v>
      </c>
      <c r="E125" s="92" t="s">
        <v>25</v>
      </c>
      <c r="F125" s="92"/>
      <c r="G125" s="92"/>
      <c r="H125" s="92">
        <v>137689880</v>
      </c>
      <c r="L125" s="92" t="s">
        <v>476</v>
      </c>
      <c r="M125" s="92">
        <v>2.2999999999999998</v>
      </c>
      <c r="N125" s="92">
        <v>2.2999999999999998</v>
      </c>
      <c r="O125" s="92">
        <v>0</v>
      </c>
      <c r="P125" s="92">
        <v>2.2999999999999998</v>
      </c>
      <c r="Q125" s="92">
        <v>0</v>
      </c>
      <c r="R125" s="92">
        <v>0</v>
      </c>
      <c r="S125" s="92">
        <v>3.2526911934581182E-2</v>
      </c>
    </row>
    <row r="126" spans="1:20">
      <c r="A126" s="14"/>
      <c r="B126" s="92"/>
      <c r="C126" s="92"/>
      <c r="D126" s="92"/>
      <c r="E126" s="92"/>
      <c r="F126" s="92"/>
      <c r="G126" s="92"/>
      <c r="H126" s="92"/>
      <c r="L126" s="92"/>
      <c r="M126" s="92"/>
      <c r="N126" s="92"/>
      <c r="O126" s="92"/>
      <c r="P126" s="92"/>
      <c r="Q126" s="92"/>
      <c r="R126" s="92"/>
      <c r="S126" s="92"/>
    </row>
  </sheetData>
  <phoneticPr fontId="4" type="noConversion"/>
  <hyperlinks>
    <hyperlink ref="A2" r:id="rId1" xr:uid="{0D358265-8A30-4EA2-BBD9-870A8CC1E282}"/>
    <hyperlink ref="A114" r:id="rId2" xr:uid="{FC14B7B0-00DB-4AB8-BEA6-6EBD4CA1BA32}"/>
    <hyperlink ref="A116" r:id="rId3" xr:uid="{DD4E6AF3-C8DB-4792-B115-690C513FF7DF}"/>
    <hyperlink ref="A117:A126" r:id="rId4" display="http://ukfires.org/probs/data/UK-wood/Observation-140" xr:uid="{FB81DFD5-998B-4962-B287-B64DFD8827C8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D38E-0818-4CE1-9281-8BF1EAA91DEE}">
  <dimension ref="A1:R31"/>
  <sheetViews>
    <sheetView zoomScale="70" zoomScaleNormal="70" workbookViewId="0">
      <selection activeCell="G6" sqref="G6"/>
    </sheetView>
  </sheetViews>
  <sheetFormatPr defaultRowHeight="14.4"/>
  <cols>
    <col min="1" max="1" width="43.44140625" customWidth="1"/>
    <col min="4" max="4" width="10.6640625" customWidth="1"/>
    <col min="5" max="6" width="10.6640625" style="85" customWidth="1"/>
    <col min="7" max="8" width="18.44140625" bestFit="1" customWidth="1"/>
    <col min="9" max="9" width="11.6640625" style="59" customWidth="1"/>
    <col min="10" max="10" width="10.6640625" style="59" customWidth="1"/>
    <col min="11" max="11" width="12" bestFit="1" customWidth="1"/>
    <col min="12" max="13" width="11.109375" style="85" customWidth="1"/>
    <col min="14" max="14" width="10" bestFit="1" customWidth="1"/>
    <col min="15" max="16" width="10" style="20" customWidth="1"/>
    <col min="17" max="17" width="10" style="53" customWidth="1"/>
    <col min="18" max="18" width="11" bestFit="1" customWidth="1"/>
  </cols>
  <sheetData>
    <row r="1" spans="1:18" ht="15" thickBot="1">
      <c r="A1" s="10" t="s">
        <v>3</v>
      </c>
      <c r="B1" s="10" t="s">
        <v>72</v>
      </c>
      <c r="C1" s="10" t="s">
        <v>73</v>
      </c>
      <c r="D1" s="10" t="s">
        <v>70</v>
      </c>
      <c r="E1" s="10" t="s">
        <v>468</v>
      </c>
      <c r="F1" s="10" t="s">
        <v>357</v>
      </c>
      <c r="G1" s="10" t="s">
        <v>54</v>
      </c>
      <c r="H1" s="10" t="s">
        <v>55</v>
      </c>
      <c r="I1" s="10" t="s">
        <v>54</v>
      </c>
      <c r="J1" s="10" t="s">
        <v>55</v>
      </c>
      <c r="K1" s="10" t="s">
        <v>74</v>
      </c>
      <c r="L1" s="10" t="s">
        <v>56</v>
      </c>
      <c r="M1" s="10" t="s">
        <v>466</v>
      </c>
      <c r="N1" s="10" t="s">
        <v>63</v>
      </c>
      <c r="O1" s="10" t="s">
        <v>154</v>
      </c>
      <c r="P1" s="10" t="s">
        <v>155</v>
      </c>
      <c r="Q1" s="10" t="s">
        <v>357</v>
      </c>
      <c r="R1" s="25" t="s">
        <v>288</v>
      </c>
    </row>
    <row r="2" spans="1:18" ht="14.4" customHeight="1">
      <c r="A2" s="68" t="s">
        <v>458</v>
      </c>
      <c r="B2">
        <v>2019</v>
      </c>
      <c r="C2" t="s">
        <v>71</v>
      </c>
      <c r="D2" s="7">
        <v>441820</v>
      </c>
      <c r="E2" s="7">
        <f>K2/M2</f>
        <v>737064.69593147747</v>
      </c>
      <c r="F2" s="7" t="s">
        <v>467</v>
      </c>
      <c r="G2">
        <v>11103523</v>
      </c>
      <c r="H2" t="s">
        <v>53</v>
      </c>
      <c r="K2">
        <f>G2*N2</f>
        <v>344209213</v>
      </c>
      <c r="L2" s="85" t="s">
        <v>105</v>
      </c>
      <c r="M2" s="85">
        <v>467</v>
      </c>
      <c r="N2" s="19">
        <f t="shared" ref="N2:N7" si="0">(O2+P2)/2</f>
        <v>31</v>
      </c>
      <c r="O2" s="23">
        <v>12</v>
      </c>
      <c r="P2" s="23">
        <v>50</v>
      </c>
      <c r="Q2" s="23" t="s">
        <v>358</v>
      </c>
      <c r="R2" s="16" t="s">
        <v>323</v>
      </c>
    </row>
    <row r="3" spans="1:18" ht="14.4" customHeight="1">
      <c r="A3" s="68" t="s">
        <v>457</v>
      </c>
      <c r="B3">
        <v>2019</v>
      </c>
      <c r="C3" t="s">
        <v>71</v>
      </c>
      <c r="D3" s="7">
        <v>441810</v>
      </c>
      <c r="E3" s="7">
        <f t="shared" ref="E3:E22" si="1">K3/M3</f>
        <v>16535.283725910063</v>
      </c>
      <c r="F3" s="7" t="s">
        <v>467</v>
      </c>
      <c r="G3">
        <v>343199</v>
      </c>
      <c r="H3" t="s">
        <v>53</v>
      </c>
      <c r="K3">
        <f>G3*N3</f>
        <v>7721977.5</v>
      </c>
      <c r="L3" s="85" t="s">
        <v>105</v>
      </c>
      <c r="M3" s="85">
        <v>467</v>
      </c>
      <c r="N3" s="5">
        <f t="shared" si="0"/>
        <v>22.5</v>
      </c>
      <c r="O3" s="24">
        <v>10</v>
      </c>
      <c r="P3" s="24">
        <v>35</v>
      </c>
      <c r="Q3" s="23" t="s">
        <v>358</v>
      </c>
      <c r="R3" s="14" t="s">
        <v>322</v>
      </c>
    </row>
    <row r="4" spans="1:18" s="36" customFormat="1" ht="14.4" customHeight="1">
      <c r="A4" s="68" t="s">
        <v>456</v>
      </c>
      <c r="B4" s="36">
        <v>2018</v>
      </c>
      <c r="C4" s="36" t="s">
        <v>71</v>
      </c>
      <c r="D4" s="7">
        <v>441871</v>
      </c>
      <c r="E4" s="7">
        <f t="shared" si="1"/>
        <v>12105.289079229122</v>
      </c>
      <c r="F4" s="7" t="s">
        <v>467</v>
      </c>
      <c r="G4" s="36">
        <v>8193</v>
      </c>
      <c r="H4" s="36" t="s">
        <v>108</v>
      </c>
      <c r="I4" s="59"/>
      <c r="J4" s="59"/>
      <c r="K4" s="36">
        <f>N4*G4</f>
        <v>5653170</v>
      </c>
      <c r="L4" s="85" t="s">
        <v>105</v>
      </c>
      <c r="M4" s="85">
        <v>467</v>
      </c>
      <c r="N4" s="5">
        <f t="shared" si="0"/>
        <v>690</v>
      </c>
      <c r="O4" s="18">
        <v>580</v>
      </c>
      <c r="P4" s="18">
        <v>800</v>
      </c>
      <c r="Q4" s="18" t="s">
        <v>359</v>
      </c>
      <c r="R4" s="36" t="s">
        <v>324</v>
      </c>
    </row>
    <row r="5" spans="1:18" s="36" customFormat="1" ht="14.4" customHeight="1">
      <c r="A5" s="68" t="s">
        <v>455</v>
      </c>
      <c r="B5" s="36">
        <v>2019</v>
      </c>
      <c r="C5" s="36" t="s">
        <v>71</v>
      </c>
      <c r="D5" s="7" t="s">
        <v>107</v>
      </c>
      <c r="E5" s="7">
        <f t="shared" si="1"/>
        <v>83956.895074946471</v>
      </c>
      <c r="F5" s="7" t="s">
        <v>467</v>
      </c>
      <c r="G5" s="36">
        <v>56823</v>
      </c>
      <c r="H5" s="36" t="s">
        <v>108</v>
      </c>
      <c r="I5" s="59"/>
      <c r="J5" s="59"/>
      <c r="K5" s="36">
        <f>N5*G5</f>
        <v>39207870</v>
      </c>
      <c r="L5" s="85" t="s">
        <v>105</v>
      </c>
      <c r="M5" s="85">
        <v>467</v>
      </c>
      <c r="N5" s="5">
        <f t="shared" si="0"/>
        <v>690</v>
      </c>
      <c r="O5" s="18">
        <v>580</v>
      </c>
      <c r="P5" s="18">
        <v>800</v>
      </c>
      <c r="Q5" s="18" t="s">
        <v>359</v>
      </c>
      <c r="R5" s="36" t="s">
        <v>324</v>
      </c>
    </row>
    <row r="6" spans="1:18" ht="20.399999999999999" customHeight="1">
      <c r="A6" s="69" t="s">
        <v>454</v>
      </c>
      <c r="B6">
        <v>2019</v>
      </c>
      <c r="C6" t="s">
        <v>71</v>
      </c>
      <c r="D6" s="7">
        <v>440910</v>
      </c>
      <c r="E6" s="7">
        <f t="shared" si="1"/>
        <v>404225.54175588867</v>
      </c>
      <c r="F6" s="7" t="s">
        <v>467</v>
      </c>
      <c r="G6">
        <v>188773328</v>
      </c>
      <c r="H6" t="s">
        <v>109</v>
      </c>
      <c r="K6">
        <v>188773328</v>
      </c>
      <c r="L6" s="85" t="s">
        <v>105</v>
      </c>
      <c r="M6" s="85">
        <v>467</v>
      </c>
      <c r="N6" s="6">
        <f t="shared" si="0"/>
        <v>7.5</v>
      </c>
      <c r="O6" s="18">
        <v>6</v>
      </c>
      <c r="P6" s="18">
        <v>9</v>
      </c>
      <c r="Q6" s="18" t="s">
        <v>360</v>
      </c>
      <c r="R6" s="9" t="s">
        <v>321</v>
      </c>
    </row>
    <row r="7" spans="1:18" ht="16.2" customHeight="1">
      <c r="A7" s="70" t="s">
        <v>453</v>
      </c>
      <c r="B7">
        <v>2019</v>
      </c>
      <c r="C7" t="s">
        <v>71</v>
      </c>
      <c r="D7" s="7" t="s">
        <v>452</v>
      </c>
      <c r="E7" s="7">
        <f t="shared" si="1"/>
        <v>11119.128479657387</v>
      </c>
      <c r="F7" s="7" t="s">
        <v>467</v>
      </c>
      <c r="G7">
        <v>5192633</v>
      </c>
      <c r="H7" t="s">
        <v>109</v>
      </c>
      <c r="K7">
        <v>5192633</v>
      </c>
      <c r="L7" s="85" t="s">
        <v>105</v>
      </c>
      <c r="M7" s="85">
        <v>467</v>
      </c>
      <c r="N7" s="6">
        <f t="shared" si="0"/>
        <v>7.5</v>
      </c>
      <c r="O7" s="18">
        <v>6</v>
      </c>
      <c r="P7" s="18">
        <v>9</v>
      </c>
      <c r="Q7" s="18" t="s">
        <v>360</v>
      </c>
      <c r="R7" s="9" t="s">
        <v>321</v>
      </c>
    </row>
    <row r="8" spans="1:18">
      <c r="D8" s="7"/>
      <c r="E8" s="7">
        <f t="shared" si="1"/>
        <v>0</v>
      </c>
      <c r="F8" s="7" t="s">
        <v>467</v>
      </c>
      <c r="L8" s="85" t="s">
        <v>105</v>
      </c>
      <c r="M8" s="85">
        <v>467</v>
      </c>
    </row>
    <row r="9" spans="1:18">
      <c r="A9" t="s">
        <v>96</v>
      </c>
      <c r="B9">
        <v>2019</v>
      </c>
      <c r="C9" t="s">
        <v>7</v>
      </c>
      <c r="D9" s="7">
        <v>441810</v>
      </c>
      <c r="E9" s="7">
        <f t="shared" si="1"/>
        <v>74397.915481798715</v>
      </c>
      <c r="F9" s="7" t="s">
        <v>467</v>
      </c>
      <c r="G9">
        <v>42893613</v>
      </c>
      <c r="H9" t="s">
        <v>109</v>
      </c>
      <c r="K9">
        <f>G9-G9*(P9/100)</f>
        <v>34743826.530000001</v>
      </c>
      <c r="L9" s="85" t="s">
        <v>105</v>
      </c>
      <c r="M9" s="85">
        <v>467</v>
      </c>
      <c r="N9" s="6">
        <f t="shared" ref="N9:N21" si="2">(O9+P9)/2</f>
        <v>12.5</v>
      </c>
      <c r="O9" s="20">
        <v>6</v>
      </c>
      <c r="P9" s="20">
        <v>19</v>
      </c>
      <c r="Q9" s="18" t="s">
        <v>360</v>
      </c>
      <c r="R9" s="36" t="s">
        <v>325</v>
      </c>
    </row>
    <row r="10" spans="1:18">
      <c r="A10" t="s">
        <v>96</v>
      </c>
      <c r="B10">
        <v>2019</v>
      </c>
      <c r="C10" t="s">
        <v>16</v>
      </c>
      <c r="D10" s="7">
        <v>441810</v>
      </c>
      <c r="E10" s="7">
        <f t="shared" si="1"/>
        <v>4627.5560171306215</v>
      </c>
      <c r="F10" s="7" t="s">
        <v>467</v>
      </c>
      <c r="G10">
        <v>2667986</v>
      </c>
      <c r="H10" t="s">
        <v>109</v>
      </c>
      <c r="K10" s="85">
        <f t="shared" ref="K10:K21" si="3">G10-G10*(P10/100)</f>
        <v>2161068.66</v>
      </c>
      <c r="L10" s="85" t="s">
        <v>105</v>
      </c>
      <c r="M10" s="85">
        <v>467</v>
      </c>
      <c r="N10" s="6">
        <f t="shared" si="2"/>
        <v>12.5</v>
      </c>
      <c r="O10" s="36">
        <v>6</v>
      </c>
      <c r="P10" s="36">
        <v>19</v>
      </c>
      <c r="Q10" s="18" t="s">
        <v>360</v>
      </c>
      <c r="R10" s="36" t="s">
        <v>325</v>
      </c>
    </row>
    <row r="11" spans="1:18">
      <c r="A11" t="s">
        <v>97</v>
      </c>
      <c r="B11">
        <v>2019</v>
      </c>
      <c r="C11" t="s">
        <v>7</v>
      </c>
      <c r="D11" s="7">
        <v>441820</v>
      </c>
      <c r="E11" s="7">
        <f t="shared" si="1"/>
        <v>240583.27047109208</v>
      </c>
      <c r="F11" s="7" t="s">
        <v>467</v>
      </c>
      <c r="G11">
        <v>138706651</v>
      </c>
      <c r="H11" t="s">
        <v>109</v>
      </c>
      <c r="I11" s="59">
        <v>7301317</v>
      </c>
      <c r="J11" s="59" t="s">
        <v>53</v>
      </c>
      <c r="K11" s="85">
        <f t="shared" si="3"/>
        <v>112352387.31</v>
      </c>
      <c r="L11" s="85" t="s">
        <v>105</v>
      </c>
      <c r="M11" s="85">
        <v>467</v>
      </c>
      <c r="N11" s="6">
        <f t="shared" si="2"/>
        <v>12.5</v>
      </c>
      <c r="O11" s="36">
        <v>6</v>
      </c>
      <c r="P11" s="36">
        <v>19</v>
      </c>
      <c r="Q11" s="18" t="s">
        <v>360</v>
      </c>
      <c r="R11" s="36" t="s">
        <v>325</v>
      </c>
    </row>
    <row r="12" spans="1:18">
      <c r="A12" t="s">
        <v>97</v>
      </c>
      <c r="B12">
        <v>2019</v>
      </c>
      <c r="C12" t="s">
        <v>16</v>
      </c>
      <c r="D12" s="7">
        <v>441820</v>
      </c>
      <c r="E12" s="7">
        <f t="shared" si="1"/>
        <v>19739.467580299784</v>
      </c>
      <c r="F12" s="7" t="s">
        <v>467</v>
      </c>
      <c r="G12">
        <v>11380656</v>
      </c>
      <c r="H12" t="s">
        <v>109</v>
      </c>
      <c r="I12" s="59">
        <v>2436479</v>
      </c>
      <c r="J12" s="59" t="s">
        <v>53</v>
      </c>
      <c r="K12" s="85">
        <f t="shared" si="3"/>
        <v>9218331.3599999994</v>
      </c>
      <c r="L12" s="85" t="s">
        <v>105</v>
      </c>
      <c r="M12" s="85">
        <v>467</v>
      </c>
      <c r="N12" s="6">
        <f t="shared" si="2"/>
        <v>12.5</v>
      </c>
      <c r="O12" s="36">
        <v>6</v>
      </c>
      <c r="P12" s="36">
        <v>19</v>
      </c>
      <c r="Q12" s="18" t="s">
        <v>360</v>
      </c>
      <c r="R12" s="36" t="s">
        <v>325</v>
      </c>
    </row>
    <row r="13" spans="1:18">
      <c r="A13" t="s">
        <v>101</v>
      </c>
      <c r="B13">
        <v>2019</v>
      </c>
      <c r="C13" t="s">
        <v>7</v>
      </c>
      <c r="D13" s="7">
        <v>441873</v>
      </c>
      <c r="E13" s="7">
        <f t="shared" si="1"/>
        <v>17276.977451820127</v>
      </c>
      <c r="F13" s="7" t="s">
        <v>467</v>
      </c>
      <c r="G13">
        <v>8866317</v>
      </c>
      <c r="H13" t="s">
        <v>109</v>
      </c>
      <c r="K13" s="85">
        <f t="shared" si="3"/>
        <v>8068348.4699999997</v>
      </c>
      <c r="L13" s="85" t="s">
        <v>105</v>
      </c>
      <c r="M13" s="85">
        <v>467</v>
      </c>
      <c r="N13" s="6">
        <f t="shared" si="2"/>
        <v>7.5</v>
      </c>
      <c r="O13" s="18">
        <v>6</v>
      </c>
      <c r="P13" s="18">
        <v>9</v>
      </c>
      <c r="Q13" s="18" t="s">
        <v>360</v>
      </c>
      <c r="R13" s="9" t="s">
        <v>321</v>
      </c>
    </row>
    <row r="14" spans="1:18">
      <c r="A14" t="s">
        <v>101</v>
      </c>
      <c r="B14">
        <v>2019</v>
      </c>
      <c r="C14" t="s">
        <v>16</v>
      </c>
      <c r="D14" s="7">
        <v>441873</v>
      </c>
      <c r="E14" s="7">
        <f t="shared" si="1"/>
        <v>79.259635974304075</v>
      </c>
      <c r="F14" s="7" t="s">
        <v>467</v>
      </c>
      <c r="G14">
        <v>40675</v>
      </c>
      <c r="H14" t="s">
        <v>109</v>
      </c>
      <c r="K14" s="85">
        <f t="shared" si="3"/>
        <v>37014.25</v>
      </c>
      <c r="L14" s="85" t="s">
        <v>105</v>
      </c>
      <c r="M14" s="85">
        <v>467</v>
      </c>
      <c r="N14" s="6">
        <f t="shared" si="2"/>
        <v>7.5</v>
      </c>
      <c r="O14" s="18">
        <v>6</v>
      </c>
      <c r="P14" s="18">
        <v>9</v>
      </c>
      <c r="Q14" s="18" t="s">
        <v>360</v>
      </c>
      <c r="R14" s="9" t="s">
        <v>326</v>
      </c>
    </row>
    <row r="15" spans="1:18">
      <c r="A15" t="s">
        <v>102</v>
      </c>
      <c r="B15">
        <v>2019</v>
      </c>
      <c r="C15" t="s">
        <v>16</v>
      </c>
      <c r="D15" s="7">
        <v>441874</v>
      </c>
      <c r="E15" s="7">
        <f t="shared" si="1"/>
        <v>40.102355460385439</v>
      </c>
      <c r="F15" s="7" t="s">
        <v>467</v>
      </c>
      <c r="G15">
        <v>20580</v>
      </c>
      <c r="H15" t="s">
        <v>109</v>
      </c>
      <c r="K15" s="85">
        <f t="shared" si="3"/>
        <v>18727.8</v>
      </c>
      <c r="L15" s="85" t="s">
        <v>105</v>
      </c>
      <c r="M15" s="85">
        <v>467</v>
      </c>
      <c r="N15" s="6">
        <f t="shared" si="2"/>
        <v>7.5</v>
      </c>
      <c r="O15" s="18">
        <v>6</v>
      </c>
      <c r="P15" s="18">
        <v>9</v>
      </c>
      <c r="Q15" s="18" t="s">
        <v>360</v>
      </c>
      <c r="R15" s="9" t="s">
        <v>327</v>
      </c>
    </row>
    <row r="16" spans="1:18">
      <c r="A16" t="s">
        <v>102</v>
      </c>
      <c r="B16">
        <v>2019</v>
      </c>
      <c r="C16" t="s">
        <v>7</v>
      </c>
      <c r="D16" s="7">
        <v>441874</v>
      </c>
      <c r="E16" s="7">
        <f t="shared" si="1"/>
        <v>50.318907922912203</v>
      </c>
      <c r="F16" s="7" t="s">
        <v>467</v>
      </c>
      <c r="G16">
        <v>25823</v>
      </c>
      <c r="H16" t="s">
        <v>109</v>
      </c>
      <c r="K16" s="85">
        <f t="shared" si="3"/>
        <v>23498.93</v>
      </c>
      <c r="L16" s="85" t="s">
        <v>105</v>
      </c>
      <c r="M16" s="85">
        <v>467</v>
      </c>
      <c r="N16" s="6">
        <f t="shared" si="2"/>
        <v>7.5</v>
      </c>
      <c r="O16" s="18">
        <v>6</v>
      </c>
      <c r="P16" s="18">
        <v>9</v>
      </c>
      <c r="Q16" s="18" t="s">
        <v>360</v>
      </c>
      <c r="R16" s="9" t="s">
        <v>328</v>
      </c>
    </row>
    <row r="17" spans="1:18">
      <c r="A17" t="s">
        <v>102</v>
      </c>
      <c r="B17">
        <v>2019</v>
      </c>
      <c r="C17" t="s">
        <v>16</v>
      </c>
      <c r="D17" s="7">
        <v>441874</v>
      </c>
      <c r="E17" s="7">
        <f t="shared" si="1"/>
        <v>40.102355460385439</v>
      </c>
      <c r="F17" s="7" t="s">
        <v>467</v>
      </c>
      <c r="G17">
        <v>20580</v>
      </c>
      <c r="H17" t="s">
        <v>109</v>
      </c>
      <c r="K17" s="85">
        <f t="shared" si="3"/>
        <v>18727.8</v>
      </c>
      <c r="L17" s="85" t="s">
        <v>105</v>
      </c>
      <c r="M17" s="85">
        <v>467</v>
      </c>
      <c r="N17" s="6">
        <f t="shared" si="2"/>
        <v>7.5</v>
      </c>
      <c r="O17" s="18">
        <v>6</v>
      </c>
      <c r="P17" s="18">
        <v>9</v>
      </c>
      <c r="Q17" s="18" t="s">
        <v>360</v>
      </c>
      <c r="R17" s="9" t="s">
        <v>329</v>
      </c>
    </row>
    <row r="18" spans="1:18">
      <c r="A18" t="s">
        <v>103</v>
      </c>
      <c r="B18">
        <v>2019</v>
      </c>
      <c r="C18" t="s">
        <v>7</v>
      </c>
      <c r="D18" s="7">
        <v>441875</v>
      </c>
      <c r="E18" s="7">
        <f t="shared" si="1"/>
        <v>67691.630235546036</v>
      </c>
      <c r="F18" s="7" t="s">
        <v>467</v>
      </c>
      <c r="G18">
        <v>34738452</v>
      </c>
      <c r="H18" t="s">
        <v>109</v>
      </c>
      <c r="K18" s="85">
        <f t="shared" si="3"/>
        <v>31611991.32</v>
      </c>
      <c r="L18" s="85" t="s">
        <v>105</v>
      </c>
      <c r="M18" s="85">
        <v>467</v>
      </c>
      <c r="N18" s="6">
        <f t="shared" si="2"/>
        <v>7.5</v>
      </c>
      <c r="O18" s="18">
        <v>6</v>
      </c>
      <c r="P18" s="18">
        <v>9</v>
      </c>
      <c r="Q18" s="18" t="s">
        <v>360</v>
      </c>
      <c r="R18" s="9" t="s">
        <v>330</v>
      </c>
    </row>
    <row r="19" spans="1:18">
      <c r="A19" t="s">
        <v>103</v>
      </c>
      <c r="B19">
        <v>2019</v>
      </c>
      <c r="C19" t="s">
        <v>16</v>
      </c>
      <c r="D19" s="7">
        <v>441875</v>
      </c>
      <c r="E19" s="7">
        <f t="shared" si="1"/>
        <v>1257.834346895075</v>
      </c>
      <c r="F19" s="7" t="s">
        <v>467</v>
      </c>
      <c r="G19">
        <v>645504</v>
      </c>
      <c r="H19" t="s">
        <v>109</v>
      </c>
      <c r="K19" s="85">
        <f t="shared" si="3"/>
        <v>587408.64000000001</v>
      </c>
      <c r="L19" s="85" t="s">
        <v>105</v>
      </c>
      <c r="M19" s="85">
        <v>467</v>
      </c>
      <c r="N19" s="6">
        <f t="shared" si="2"/>
        <v>7.5</v>
      </c>
      <c r="O19" s="18">
        <v>6</v>
      </c>
      <c r="P19" s="18">
        <v>9</v>
      </c>
      <c r="Q19" s="18" t="s">
        <v>360</v>
      </c>
      <c r="R19" s="9" t="s">
        <v>331</v>
      </c>
    </row>
    <row r="20" spans="1:18">
      <c r="A20" t="s">
        <v>104</v>
      </c>
      <c r="B20">
        <v>2019</v>
      </c>
      <c r="C20" t="s">
        <v>7</v>
      </c>
      <c r="D20" s="7">
        <v>441879</v>
      </c>
      <c r="E20" s="7">
        <f t="shared" si="1"/>
        <v>54429.303875803002</v>
      </c>
      <c r="F20" s="7" t="s">
        <v>467</v>
      </c>
      <c r="G20">
        <v>27932401</v>
      </c>
      <c r="H20" t="s">
        <v>109</v>
      </c>
      <c r="K20" s="85">
        <f t="shared" si="3"/>
        <v>25418484.91</v>
      </c>
      <c r="L20" s="85" t="s">
        <v>105</v>
      </c>
      <c r="M20" s="85">
        <v>467</v>
      </c>
      <c r="N20" s="6">
        <f t="shared" si="2"/>
        <v>7.5</v>
      </c>
      <c r="O20" s="18">
        <v>6</v>
      </c>
      <c r="P20" s="18">
        <v>9</v>
      </c>
      <c r="Q20" s="18" t="s">
        <v>360</v>
      </c>
      <c r="R20" s="9" t="s">
        <v>332</v>
      </c>
    </row>
    <row r="21" spans="1:18">
      <c r="A21" t="s">
        <v>104</v>
      </c>
      <c r="B21">
        <v>2019</v>
      </c>
      <c r="C21" t="s">
        <v>16</v>
      </c>
      <c r="D21" s="7">
        <v>441879</v>
      </c>
      <c r="E21" s="7">
        <f t="shared" si="1"/>
        <v>3543.241862955032</v>
      </c>
      <c r="F21" s="7" t="s">
        <v>467</v>
      </c>
      <c r="G21">
        <v>1818345</v>
      </c>
      <c r="H21" t="s">
        <v>109</v>
      </c>
      <c r="K21" s="85">
        <f t="shared" si="3"/>
        <v>1654693.95</v>
      </c>
      <c r="L21" s="85" t="s">
        <v>105</v>
      </c>
      <c r="M21" s="85">
        <v>467</v>
      </c>
      <c r="N21" s="6">
        <f t="shared" si="2"/>
        <v>7.5</v>
      </c>
      <c r="O21" s="18">
        <v>6</v>
      </c>
      <c r="P21" s="18">
        <v>9</v>
      </c>
      <c r="Q21" s="18" t="s">
        <v>360</v>
      </c>
      <c r="R21" s="9" t="s">
        <v>333</v>
      </c>
    </row>
    <row r="22" spans="1:18">
      <c r="D22" s="7"/>
      <c r="E22" s="7">
        <f t="shared" si="1"/>
        <v>0</v>
      </c>
      <c r="F22" s="7" t="s">
        <v>467</v>
      </c>
      <c r="L22" s="85" t="s">
        <v>105</v>
      </c>
      <c r="M22" s="85">
        <v>467</v>
      </c>
      <c r="R22" s="9"/>
    </row>
    <row r="23" spans="1:18">
      <c r="A23" s="67" t="s">
        <v>402</v>
      </c>
      <c r="B23" s="67">
        <v>2019</v>
      </c>
      <c r="C23" s="67" t="s">
        <v>7</v>
      </c>
      <c r="D23" s="7">
        <v>440910</v>
      </c>
      <c r="E23" s="7">
        <f>G23/M23</f>
        <v>94858.199143468955</v>
      </c>
      <c r="F23" s="7" t="s">
        <v>467</v>
      </c>
      <c r="G23" s="66">
        <v>44298779</v>
      </c>
      <c r="H23" s="66" t="s">
        <v>109</v>
      </c>
      <c r="L23" s="85" t="s">
        <v>105</v>
      </c>
      <c r="M23" s="85">
        <v>467</v>
      </c>
    </row>
    <row r="24" spans="1:18">
      <c r="A24" s="67" t="s">
        <v>402</v>
      </c>
      <c r="B24" s="67">
        <v>2019</v>
      </c>
      <c r="C24" s="67" t="s">
        <v>16</v>
      </c>
      <c r="D24" s="7">
        <v>440910</v>
      </c>
      <c r="E24" s="7">
        <f t="shared" ref="E24:E30" si="4">G24/M24</f>
        <v>58335.781584582444</v>
      </c>
      <c r="F24" s="7" t="s">
        <v>467</v>
      </c>
      <c r="G24" s="66">
        <v>27242810</v>
      </c>
      <c r="H24" s="66" t="s">
        <v>109</v>
      </c>
      <c r="L24" s="85" t="s">
        <v>105</v>
      </c>
      <c r="M24" s="85">
        <v>467</v>
      </c>
    </row>
    <row r="25" spans="1:18">
      <c r="A25" s="67" t="s">
        <v>403</v>
      </c>
      <c r="B25" s="67">
        <v>2019</v>
      </c>
      <c r="C25" s="67" t="s">
        <v>7</v>
      </c>
      <c r="D25" s="7">
        <v>440921</v>
      </c>
      <c r="E25" s="7">
        <f t="shared" si="4"/>
        <v>3903.3404710920772</v>
      </c>
      <c r="F25" s="7" t="s">
        <v>467</v>
      </c>
      <c r="G25" s="66">
        <v>1822860</v>
      </c>
      <c r="H25" s="66" t="s">
        <v>109</v>
      </c>
      <c r="L25" s="85" t="s">
        <v>105</v>
      </c>
      <c r="M25" s="85">
        <v>467</v>
      </c>
    </row>
    <row r="26" spans="1:18">
      <c r="A26" s="67" t="s">
        <v>403</v>
      </c>
      <c r="B26" s="67">
        <v>2019</v>
      </c>
      <c r="C26" s="67" t="s">
        <v>16</v>
      </c>
      <c r="D26" s="7">
        <v>440921</v>
      </c>
      <c r="E26" s="7">
        <f t="shared" si="4"/>
        <v>84.092077087794436</v>
      </c>
      <c r="F26" s="7" t="s">
        <v>467</v>
      </c>
      <c r="G26" s="66">
        <v>39271</v>
      </c>
      <c r="H26" s="66" t="s">
        <v>109</v>
      </c>
      <c r="L26" s="85" t="s">
        <v>105</v>
      </c>
      <c r="M26" s="85">
        <v>467</v>
      </c>
    </row>
    <row r="27" spans="1:18">
      <c r="A27" s="67" t="s">
        <v>404</v>
      </c>
      <c r="B27" s="67">
        <v>2019</v>
      </c>
      <c r="C27" s="67" t="s">
        <v>7</v>
      </c>
      <c r="D27" s="7">
        <v>440922</v>
      </c>
      <c r="E27" s="7">
        <f t="shared" si="4"/>
        <v>11327.95289079229</v>
      </c>
      <c r="F27" s="7" t="s">
        <v>467</v>
      </c>
      <c r="G27" s="66">
        <v>5290154</v>
      </c>
      <c r="H27" s="66" t="s">
        <v>109</v>
      </c>
      <c r="L27" s="85" t="s">
        <v>105</v>
      </c>
      <c r="M27" s="85">
        <v>467</v>
      </c>
    </row>
    <row r="28" spans="1:18">
      <c r="A28" s="67" t="s">
        <v>404</v>
      </c>
      <c r="B28" s="67">
        <v>2019</v>
      </c>
      <c r="C28" s="67" t="s">
        <v>16</v>
      </c>
      <c r="D28" s="7">
        <v>440922</v>
      </c>
      <c r="E28" s="7">
        <f t="shared" si="4"/>
        <v>0</v>
      </c>
      <c r="F28" s="7" t="s">
        <v>467</v>
      </c>
      <c r="G28" s="66">
        <v>0</v>
      </c>
      <c r="H28" s="66" t="s">
        <v>109</v>
      </c>
      <c r="L28" s="85" t="s">
        <v>105</v>
      </c>
      <c r="M28" s="85">
        <v>467</v>
      </c>
    </row>
    <row r="29" spans="1:18">
      <c r="A29" s="67" t="s">
        <v>405</v>
      </c>
      <c r="B29" s="67">
        <v>2019</v>
      </c>
      <c r="C29" s="67" t="s">
        <v>7</v>
      </c>
      <c r="D29" s="7">
        <v>440929</v>
      </c>
      <c r="E29" s="7">
        <f t="shared" si="4"/>
        <v>0</v>
      </c>
      <c r="F29" s="7" t="s">
        <v>467</v>
      </c>
      <c r="G29" s="66">
        <v>0</v>
      </c>
      <c r="H29" s="66" t="s">
        <v>109</v>
      </c>
      <c r="L29" s="85" t="s">
        <v>105</v>
      </c>
      <c r="M29" s="85">
        <v>467</v>
      </c>
    </row>
    <row r="30" spans="1:18">
      <c r="A30" s="67" t="s">
        <v>405</v>
      </c>
      <c r="B30" s="67">
        <v>2019</v>
      </c>
      <c r="C30" s="67" t="s">
        <v>16</v>
      </c>
      <c r="D30" s="7">
        <v>440929</v>
      </c>
      <c r="E30" s="7">
        <f t="shared" si="4"/>
        <v>9324.1970021413272</v>
      </c>
      <c r="F30" s="7" t="s">
        <v>467</v>
      </c>
      <c r="G30" s="66">
        <v>4354400</v>
      </c>
      <c r="H30" s="66" t="s">
        <v>109</v>
      </c>
      <c r="L30" s="85" t="s">
        <v>105</v>
      </c>
      <c r="M30" s="85">
        <v>467</v>
      </c>
    </row>
    <row r="31" spans="1:18">
      <c r="L31" s="85" t="s">
        <v>105</v>
      </c>
      <c r="M31" s="85">
        <v>467</v>
      </c>
    </row>
  </sheetData>
  <phoneticPr fontId="4" type="noConversion"/>
  <hyperlinks>
    <hyperlink ref="R3" r:id="rId1" xr:uid="{5BA61C80-D57F-4D6D-9E19-C73B6F5FAF0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35D8-AB29-462A-9272-58126DB4EDCD}">
  <dimension ref="A1:L18"/>
  <sheetViews>
    <sheetView zoomScale="85" zoomScaleNormal="85" workbookViewId="0">
      <selection activeCell="A4" sqref="A4"/>
    </sheetView>
  </sheetViews>
  <sheetFormatPr defaultRowHeight="14.4"/>
  <cols>
    <col min="1" max="1" width="45.44140625" customWidth="1"/>
    <col min="2" max="4" width="10" bestFit="1" customWidth="1"/>
    <col min="5" max="5" width="13.6640625" bestFit="1" customWidth="1"/>
    <col min="6" max="6" width="11" bestFit="1" customWidth="1"/>
    <col min="7" max="7" width="11.109375" bestFit="1" customWidth="1"/>
    <col min="10" max="10" width="8.88671875" style="53"/>
  </cols>
  <sheetData>
    <row r="1" spans="1:12" ht="15" thickBot="1">
      <c r="A1" s="10" t="s">
        <v>3</v>
      </c>
      <c r="B1" s="10" t="s">
        <v>72</v>
      </c>
      <c r="C1" s="10" t="s">
        <v>73</v>
      </c>
      <c r="D1" s="10" t="s">
        <v>70</v>
      </c>
      <c r="E1" s="10" t="s">
        <v>54</v>
      </c>
      <c r="F1" s="10" t="s">
        <v>55</v>
      </c>
      <c r="G1" s="10" t="s">
        <v>74</v>
      </c>
      <c r="H1" s="25" t="s">
        <v>304</v>
      </c>
      <c r="I1" s="25" t="s">
        <v>305</v>
      </c>
      <c r="J1" s="25" t="s">
        <v>357</v>
      </c>
      <c r="K1" s="25"/>
    </row>
    <row r="2" spans="1:12">
      <c r="A2" s="68" t="s">
        <v>459</v>
      </c>
      <c r="B2">
        <v>2012</v>
      </c>
      <c r="C2" t="s">
        <v>71</v>
      </c>
      <c r="D2" t="s">
        <v>135</v>
      </c>
      <c r="E2">
        <v>2094659</v>
      </c>
      <c r="F2" t="s">
        <v>109</v>
      </c>
      <c r="G2">
        <v>2094659</v>
      </c>
      <c r="H2" s="9">
        <v>9</v>
      </c>
      <c r="I2" s="9">
        <v>14</v>
      </c>
      <c r="J2" s="9" t="s">
        <v>360</v>
      </c>
      <c r="K2" s="14"/>
    </row>
    <row r="3" spans="1:12" ht="14.4" customHeight="1">
      <c r="A3" s="68" t="s">
        <v>460</v>
      </c>
      <c r="B3">
        <v>2019</v>
      </c>
      <c r="C3" t="s">
        <v>71</v>
      </c>
      <c r="D3" t="s">
        <v>136</v>
      </c>
      <c r="E3">
        <v>894347393</v>
      </c>
      <c r="F3" t="s">
        <v>109</v>
      </c>
      <c r="G3">
        <v>894347393</v>
      </c>
      <c r="K3" s="14"/>
      <c r="L3" s="14"/>
    </row>
    <row r="4" spans="1:12" ht="14.4" customHeight="1">
      <c r="A4" s="68"/>
      <c r="K4" s="14"/>
    </row>
    <row r="5" spans="1:12" s="36" customFormat="1" ht="14.4" customHeight="1">
      <c r="J5" s="53"/>
    </row>
    <row r="6" spans="1:12" s="36" customFormat="1" ht="14.4" customHeight="1">
      <c r="J6" s="53"/>
    </row>
    <row r="7" spans="1:12">
      <c r="A7" t="s">
        <v>98</v>
      </c>
      <c r="B7">
        <v>2018</v>
      </c>
      <c r="C7" t="s">
        <v>7</v>
      </c>
      <c r="D7">
        <v>441840</v>
      </c>
      <c r="E7" s="51">
        <v>1785813</v>
      </c>
      <c r="F7" t="s">
        <v>109</v>
      </c>
      <c r="G7" s="51">
        <v>1785813</v>
      </c>
      <c r="H7" s="9">
        <v>9</v>
      </c>
      <c r="I7" s="9">
        <v>14</v>
      </c>
      <c r="J7" s="9" t="s">
        <v>360</v>
      </c>
      <c r="K7" s="14"/>
    </row>
    <row r="8" spans="1:12">
      <c r="A8" t="s">
        <v>98</v>
      </c>
      <c r="B8">
        <v>2019</v>
      </c>
      <c r="C8" t="s">
        <v>16</v>
      </c>
      <c r="D8">
        <v>441840</v>
      </c>
      <c r="E8">
        <v>311285</v>
      </c>
      <c r="F8" t="s">
        <v>109</v>
      </c>
      <c r="G8" s="34">
        <v>311285</v>
      </c>
      <c r="H8" s="9">
        <v>9</v>
      </c>
      <c r="I8" s="9">
        <v>14</v>
      </c>
      <c r="J8" s="9" t="s">
        <v>360</v>
      </c>
      <c r="K8" s="9"/>
    </row>
    <row r="9" spans="1:12">
      <c r="A9" t="s">
        <v>99</v>
      </c>
      <c r="B9">
        <v>2019</v>
      </c>
      <c r="C9" t="s">
        <v>7</v>
      </c>
      <c r="D9">
        <v>441850</v>
      </c>
      <c r="E9">
        <v>1300681</v>
      </c>
      <c r="F9" t="s">
        <v>109</v>
      </c>
      <c r="G9" s="34">
        <v>1300681</v>
      </c>
      <c r="H9" s="9">
        <v>9</v>
      </c>
      <c r="I9" s="9">
        <v>14</v>
      </c>
      <c r="J9" s="9" t="s">
        <v>360</v>
      </c>
      <c r="K9" s="9"/>
    </row>
    <row r="10" spans="1:12">
      <c r="A10" t="s">
        <v>99</v>
      </c>
      <c r="B10">
        <v>2019</v>
      </c>
      <c r="C10" t="s">
        <v>16</v>
      </c>
      <c r="D10">
        <v>441850</v>
      </c>
      <c r="E10">
        <v>52866</v>
      </c>
      <c r="F10" t="s">
        <v>109</v>
      </c>
      <c r="G10" s="34">
        <v>52866</v>
      </c>
      <c r="H10" s="9">
        <v>9</v>
      </c>
      <c r="I10" s="9">
        <v>14</v>
      </c>
      <c r="J10" s="9" t="s">
        <v>360</v>
      </c>
      <c r="K10" s="9"/>
    </row>
    <row r="11" spans="1:12">
      <c r="A11" t="s">
        <v>100</v>
      </c>
      <c r="B11">
        <v>2019</v>
      </c>
      <c r="C11" t="s">
        <v>7</v>
      </c>
      <c r="D11">
        <v>441860</v>
      </c>
      <c r="E11">
        <v>37217621</v>
      </c>
      <c r="F11" t="s">
        <v>109</v>
      </c>
      <c r="G11" s="34">
        <v>37217621</v>
      </c>
      <c r="H11" s="9">
        <v>9</v>
      </c>
      <c r="I11" s="9">
        <v>14</v>
      </c>
      <c r="J11" s="9" t="s">
        <v>360</v>
      </c>
      <c r="K11" s="9"/>
    </row>
    <row r="12" spans="1:12">
      <c r="A12" t="s">
        <v>100</v>
      </c>
      <c r="B12">
        <v>2019</v>
      </c>
      <c r="C12" t="s">
        <v>16</v>
      </c>
      <c r="D12">
        <v>441860</v>
      </c>
      <c r="E12">
        <v>5226036</v>
      </c>
      <c r="F12" t="s">
        <v>109</v>
      </c>
      <c r="G12" s="34">
        <v>5226036</v>
      </c>
      <c r="H12" s="9">
        <v>9</v>
      </c>
      <c r="I12" s="9">
        <v>14</v>
      </c>
      <c r="J12" s="9" t="s">
        <v>360</v>
      </c>
      <c r="K12" s="9"/>
    </row>
    <row r="13" spans="1:12">
      <c r="A13" s="9" t="s">
        <v>408</v>
      </c>
      <c r="B13" s="67">
        <v>2019</v>
      </c>
      <c r="C13" s="67" t="s">
        <v>7</v>
      </c>
      <c r="D13" s="65">
        <v>441899</v>
      </c>
      <c r="E13" s="67">
        <v>81577738</v>
      </c>
      <c r="F13" s="67" t="s">
        <v>109</v>
      </c>
    </row>
    <row r="14" spans="1:12">
      <c r="A14" s="9" t="s">
        <v>408</v>
      </c>
      <c r="B14" s="67">
        <v>2019</v>
      </c>
      <c r="C14" s="67" t="s">
        <v>16</v>
      </c>
      <c r="D14" s="65">
        <v>441899</v>
      </c>
      <c r="E14" s="65">
        <v>6044053</v>
      </c>
      <c r="F14" s="67" t="s">
        <v>109</v>
      </c>
    </row>
    <row r="15" spans="1:12">
      <c r="A15" s="53"/>
      <c r="B15" s="67"/>
      <c r="C15" s="67"/>
      <c r="D15" s="65"/>
      <c r="E15" s="65"/>
      <c r="F15" s="67"/>
    </row>
    <row r="16" spans="1:12">
      <c r="B16" s="67"/>
      <c r="C16" s="67"/>
      <c r="D16" s="65"/>
      <c r="E16" s="65"/>
      <c r="F16" s="67"/>
    </row>
    <row r="17" spans="5:5">
      <c r="E17">
        <f>E9+E11</f>
        <v>38518302</v>
      </c>
    </row>
    <row r="18" spans="5:5">
      <c r="E18" s="91">
        <f>E10+E12</f>
        <v>5278902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F49A-6558-4ED2-BB3B-27516192D6AC}">
  <dimension ref="A1:T12"/>
  <sheetViews>
    <sheetView zoomScaleNormal="100" workbookViewId="0">
      <selection activeCell="E4" sqref="E4"/>
    </sheetView>
  </sheetViews>
  <sheetFormatPr defaultRowHeight="14.4"/>
  <cols>
    <col min="5" max="5" width="31.109375" bestFit="1" customWidth="1"/>
    <col min="6" max="6" width="14.6640625" bestFit="1" customWidth="1"/>
    <col min="7" max="7" width="26" bestFit="1" customWidth="1"/>
    <col min="11" max="11" width="15.5546875" customWidth="1"/>
    <col min="14" max="14" width="10.109375" bestFit="1" customWidth="1"/>
  </cols>
  <sheetData>
    <row r="1" spans="1:20" ht="15" thickBot="1">
      <c r="A1" s="10" t="s">
        <v>3</v>
      </c>
      <c r="B1" s="10" t="s">
        <v>72</v>
      </c>
      <c r="C1" s="10" t="s">
        <v>73</v>
      </c>
      <c r="D1" s="10" t="s">
        <v>70</v>
      </c>
      <c r="E1" s="10" t="s">
        <v>111</v>
      </c>
      <c r="F1" s="10" t="s">
        <v>55</v>
      </c>
      <c r="G1" s="10" t="s">
        <v>57</v>
      </c>
      <c r="H1" s="83" t="s">
        <v>304</v>
      </c>
      <c r="I1" s="83" t="s">
        <v>305</v>
      </c>
      <c r="J1" s="83" t="s">
        <v>357</v>
      </c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>
      <c r="A2" s="76" t="s">
        <v>465</v>
      </c>
      <c r="B2" s="77" t="s">
        <v>6</v>
      </c>
      <c r="C2" s="77" t="s">
        <v>71</v>
      </c>
      <c r="D2" s="78" t="s">
        <v>463</v>
      </c>
      <c r="E2" s="79">
        <v>1328281</v>
      </c>
      <c r="F2" s="77" t="s">
        <v>407</v>
      </c>
      <c r="G2" s="77"/>
      <c r="H2" s="18"/>
      <c r="I2" s="18"/>
      <c r="J2" s="18"/>
      <c r="K2" s="80"/>
      <c r="L2" s="77"/>
      <c r="M2" s="78"/>
      <c r="N2" s="79"/>
      <c r="O2" s="77"/>
      <c r="P2" s="77"/>
      <c r="Q2" s="18"/>
      <c r="R2" s="18"/>
      <c r="S2" s="18"/>
      <c r="T2" s="80"/>
    </row>
    <row r="3" spans="1:20" s="67" customFormat="1">
      <c r="A3" s="77"/>
      <c r="B3" s="77"/>
      <c r="C3" s="77"/>
      <c r="D3" s="77"/>
      <c r="E3" s="77"/>
      <c r="F3" s="77"/>
      <c r="G3" s="77"/>
      <c r="H3" s="18"/>
      <c r="I3" s="18"/>
      <c r="J3" s="18"/>
      <c r="K3" s="80"/>
      <c r="L3" s="77"/>
      <c r="M3" s="77"/>
      <c r="N3" s="77"/>
      <c r="O3" s="77"/>
      <c r="P3" s="77"/>
      <c r="Q3" s="18"/>
      <c r="R3" s="18"/>
      <c r="S3" s="18"/>
      <c r="T3" s="80"/>
    </row>
    <row r="4" spans="1:20">
      <c r="A4" s="76" t="s">
        <v>465</v>
      </c>
      <c r="B4" s="77" t="s">
        <v>461</v>
      </c>
      <c r="C4" s="77" t="s">
        <v>406</v>
      </c>
      <c r="D4" s="78" t="s">
        <v>464</v>
      </c>
      <c r="E4" s="78">
        <v>37814823</v>
      </c>
      <c r="F4" s="77" t="s">
        <v>105</v>
      </c>
      <c r="G4" s="77"/>
      <c r="H4" s="18"/>
      <c r="I4" s="18"/>
      <c r="J4" s="18"/>
      <c r="K4" s="18"/>
      <c r="L4" s="77"/>
      <c r="M4" s="78"/>
      <c r="N4" s="78"/>
      <c r="O4" s="77"/>
      <c r="P4" s="77"/>
      <c r="Q4" s="18"/>
      <c r="R4" s="18"/>
      <c r="S4" s="18"/>
      <c r="T4" s="18"/>
    </row>
    <row r="5" spans="1:20" s="67" customFormat="1">
      <c r="A5" s="76" t="s">
        <v>465</v>
      </c>
      <c r="B5" s="77" t="s">
        <v>462</v>
      </c>
      <c r="C5" s="77" t="s">
        <v>16</v>
      </c>
      <c r="D5" s="78" t="s">
        <v>464</v>
      </c>
      <c r="E5" s="81">
        <v>4683534</v>
      </c>
      <c r="F5" s="77" t="s">
        <v>105</v>
      </c>
      <c r="G5" s="77"/>
      <c r="H5" s="18"/>
      <c r="I5" s="18"/>
      <c r="J5" s="18"/>
      <c r="K5" s="18"/>
      <c r="L5" s="77"/>
      <c r="M5" s="78"/>
      <c r="N5" s="81"/>
      <c r="O5" s="77"/>
      <c r="P5" s="77"/>
      <c r="Q5" s="18"/>
      <c r="R5" s="18"/>
      <c r="S5" s="18"/>
      <c r="T5" s="18"/>
    </row>
    <row r="6" spans="1:20" s="67" customForma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8"/>
      <c r="O6" s="77"/>
      <c r="P6" s="77"/>
      <c r="Q6" s="18"/>
      <c r="R6" s="18"/>
      <c r="S6" s="18"/>
      <c r="T6" s="18"/>
    </row>
    <row r="7" spans="1:20" s="67" customForma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8"/>
      <c r="O7" s="77"/>
      <c r="P7" s="77"/>
      <c r="Q7" s="18"/>
      <c r="R7" s="18"/>
      <c r="S7" s="18"/>
      <c r="T7" s="18"/>
    </row>
    <row r="8" spans="1:20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77"/>
      <c r="M8" s="77"/>
      <c r="N8" s="77"/>
      <c r="O8" s="77"/>
      <c r="P8" s="77"/>
      <c r="Q8" s="18"/>
      <c r="R8" s="18"/>
      <c r="S8" s="18"/>
      <c r="T8" s="18"/>
    </row>
    <row r="9" spans="1:20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18"/>
      <c r="R9" s="18"/>
      <c r="S9" s="18"/>
      <c r="T9" s="18"/>
    </row>
    <row r="10" spans="1:20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8"/>
      <c r="R10" s="18"/>
      <c r="S10" s="18"/>
      <c r="T10" s="18"/>
    </row>
    <row r="11" spans="1:20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9"/>
      <c r="N11" s="9"/>
      <c r="O11" s="9"/>
      <c r="P11" s="9"/>
    </row>
    <row r="12" spans="1:20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2137-BD65-4D35-9099-26236D1EF77B}">
  <dimension ref="A1:J16"/>
  <sheetViews>
    <sheetView workbookViewId="0">
      <selection activeCell="F4" sqref="F4"/>
    </sheetView>
  </sheetViews>
  <sheetFormatPr defaultRowHeight="14.4"/>
  <cols>
    <col min="2" max="2" width="11" bestFit="1" customWidth="1"/>
    <col min="4" max="4" width="12.109375" bestFit="1" customWidth="1"/>
    <col min="5" max="5" width="14.33203125" bestFit="1" customWidth="1"/>
    <col min="6" max="8" width="14.33203125" style="85" customWidth="1"/>
    <col min="9" max="10" width="8.88671875" style="55"/>
  </cols>
  <sheetData>
    <row r="1" spans="1:10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469</v>
      </c>
      <c r="F1" s="10" t="s">
        <v>111</v>
      </c>
      <c r="G1" s="10" t="s">
        <v>55</v>
      </c>
      <c r="H1" s="10" t="s">
        <v>466</v>
      </c>
      <c r="I1" s="25" t="s">
        <v>284</v>
      </c>
      <c r="J1" s="25" t="s">
        <v>285</v>
      </c>
    </row>
    <row r="2" spans="1:10">
      <c r="A2" s="40" t="s">
        <v>5</v>
      </c>
      <c r="B2" s="40" t="s">
        <v>6</v>
      </c>
      <c r="C2" s="40" t="s">
        <v>7</v>
      </c>
      <c r="D2" s="40" t="s">
        <v>31</v>
      </c>
      <c r="E2" s="40">
        <f>F2/1000*H2</f>
        <v>19975500</v>
      </c>
      <c r="F2" s="85">
        <v>8878000000</v>
      </c>
      <c r="G2" s="85" t="s">
        <v>105</v>
      </c>
      <c r="H2" s="85">
        <v>2.25</v>
      </c>
      <c r="I2" s="55">
        <v>0.06</v>
      </c>
      <c r="J2" s="16">
        <v>0.1</v>
      </c>
    </row>
    <row r="3" spans="1:10">
      <c r="A3" s="40" t="s">
        <v>5</v>
      </c>
      <c r="B3" s="40" t="s">
        <v>6</v>
      </c>
      <c r="C3" s="40" t="s">
        <v>16</v>
      </c>
      <c r="D3" s="40" t="s">
        <v>31</v>
      </c>
      <c r="E3" s="85">
        <f t="shared" ref="E3:E4" si="0">F3/1000*H3</f>
        <v>74250</v>
      </c>
      <c r="F3" s="85">
        <v>33000000</v>
      </c>
      <c r="G3" s="18" t="s">
        <v>105</v>
      </c>
      <c r="H3" s="88">
        <v>2.25</v>
      </c>
      <c r="I3" s="55">
        <v>0.06</v>
      </c>
      <c r="J3" s="16">
        <v>0.1</v>
      </c>
    </row>
    <row r="4" spans="1:10">
      <c r="A4" s="85" t="s">
        <v>5</v>
      </c>
      <c r="B4" s="85" t="s">
        <v>6</v>
      </c>
      <c r="C4" s="85" t="s">
        <v>17</v>
      </c>
      <c r="D4" s="85" t="s">
        <v>31</v>
      </c>
      <c r="E4" s="85">
        <f t="shared" si="0"/>
        <v>670500</v>
      </c>
      <c r="F4" s="85">
        <v>298000000</v>
      </c>
      <c r="G4" s="18" t="s">
        <v>105</v>
      </c>
      <c r="H4" s="24">
        <v>2.25</v>
      </c>
      <c r="J4" s="16"/>
    </row>
    <row r="5" spans="1:10">
      <c r="E5" s="24"/>
      <c r="F5" s="24"/>
      <c r="G5" s="24"/>
      <c r="H5" s="24"/>
      <c r="J5" s="16"/>
    </row>
    <row r="6" spans="1:10">
      <c r="J6" s="16"/>
    </row>
    <row r="7" spans="1:10">
      <c r="J7" s="16"/>
    </row>
    <row r="8" spans="1:10">
      <c r="J8" s="16"/>
    </row>
    <row r="9" spans="1:10">
      <c r="J9" s="16"/>
    </row>
    <row r="10" spans="1:10">
      <c r="J10" s="16"/>
    </row>
    <row r="11" spans="1:10">
      <c r="J11" s="16"/>
    </row>
    <row r="12" spans="1:10">
      <c r="J12" s="16"/>
    </row>
    <row r="13" spans="1:10">
      <c r="J13" s="16"/>
    </row>
    <row r="14" spans="1:10">
      <c r="J14" s="16"/>
    </row>
    <row r="15" spans="1:10">
      <c r="J15" s="16"/>
    </row>
    <row r="16" spans="1:10">
      <c r="J16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05FB-D54B-4CF0-A91B-CB362B43A95E}">
  <dimension ref="A1:P11"/>
  <sheetViews>
    <sheetView zoomScale="70" zoomScaleNormal="70" workbookViewId="0">
      <selection activeCell="M15" sqref="M15"/>
    </sheetView>
  </sheetViews>
  <sheetFormatPr defaultRowHeight="14.4"/>
  <cols>
    <col min="1" max="1" width="14.5546875" customWidth="1"/>
    <col min="3" max="9" width="9.109375" customWidth="1"/>
    <col min="10" max="10" width="64.33203125" customWidth="1"/>
    <col min="13" max="13" width="11" bestFit="1" customWidth="1"/>
    <col min="14" max="14" width="11" style="20" customWidth="1"/>
    <col min="15" max="15" width="11.88671875" bestFit="1" customWidth="1"/>
  </cols>
  <sheetData>
    <row r="1" spans="1:16" ht="15" thickBot="1">
      <c r="A1" s="10" t="s">
        <v>110</v>
      </c>
      <c r="B1" s="10"/>
      <c r="C1" s="10"/>
      <c r="D1" s="10"/>
      <c r="E1" s="10"/>
      <c r="F1" s="10"/>
      <c r="G1" s="10"/>
      <c r="H1" s="10"/>
      <c r="I1" s="10"/>
      <c r="J1" s="10"/>
      <c r="K1" s="10" t="s">
        <v>72</v>
      </c>
      <c r="L1" s="10" t="s">
        <v>73</v>
      </c>
      <c r="M1" s="10" t="s">
        <v>177</v>
      </c>
      <c r="N1" s="10" t="s">
        <v>174</v>
      </c>
      <c r="O1" s="10" t="s">
        <v>169</v>
      </c>
    </row>
    <row r="2" spans="1:16">
      <c r="A2" s="94" t="s">
        <v>134</v>
      </c>
      <c r="B2" s="94"/>
      <c r="C2" s="94"/>
      <c r="D2" s="94"/>
      <c r="E2" s="94"/>
      <c r="F2" s="94"/>
      <c r="G2" s="94"/>
      <c r="H2" s="94"/>
      <c r="I2" s="94"/>
      <c r="J2" s="94"/>
      <c r="K2" s="20">
        <v>2019</v>
      </c>
      <c r="L2" s="20" t="s">
        <v>71</v>
      </c>
      <c r="M2" s="20">
        <v>894347393</v>
      </c>
      <c r="N2" s="20">
        <v>100</v>
      </c>
      <c r="O2" s="20" t="s">
        <v>109</v>
      </c>
      <c r="P2" t="s">
        <v>178</v>
      </c>
    </row>
    <row r="3" spans="1:16">
      <c r="A3" t="s">
        <v>165</v>
      </c>
      <c r="K3">
        <v>2019</v>
      </c>
      <c r="L3" t="s">
        <v>71</v>
      </c>
      <c r="M3" s="1">
        <f>SUM(Observations!H81:H82)</f>
        <v>241411289.98055121</v>
      </c>
      <c r="N3" s="1"/>
      <c r="O3" s="20" t="s">
        <v>109</v>
      </c>
      <c r="P3" s="20" t="s">
        <v>166</v>
      </c>
    </row>
    <row r="4" spans="1:16">
      <c r="A4" t="s">
        <v>47</v>
      </c>
      <c r="K4" s="20">
        <v>2019</v>
      </c>
      <c r="L4" s="20" t="s">
        <v>71</v>
      </c>
      <c r="M4" s="1">
        <f>M2-M3</f>
        <v>652936103.01944876</v>
      </c>
      <c r="N4" s="1">
        <f>M4*100/(M4+M11)</f>
        <v>36.710910135728284</v>
      </c>
      <c r="O4" s="20" t="s">
        <v>109</v>
      </c>
      <c r="P4" s="20" t="s">
        <v>167</v>
      </c>
    </row>
    <row r="5" spans="1:16">
      <c r="K5" s="20"/>
      <c r="L5" s="20"/>
      <c r="O5" s="20"/>
      <c r="P5" s="20"/>
    </row>
    <row r="8" spans="1:16">
      <c r="A8" t="s">
        <v>168</v>
      </c>
      <c r="B8" t="s">
        <v>170</v>
      </c>
      <c r="M8">
        <v>1416000000</v>
      </c>
      <c r="O8" s="20" t="s">
        <v>109</v>
      </c>
      <c r="P8" t="s">
        <v>171</v>
      </c>
    </row>
    <row r="9" spans="1:16">
      <c r="A9" s="20" t="s">
        <v>168</v>
      </c>
      <c r="B9" t="s">
        <v>19</v>
      </c>
      <c r="M9">
        <v>604000000</v>
      </c>
      <c r="O9" s="20" t="s">
        <v>109</v>
      </c>
      <c r="P9" s="20" t="s">
        <v>172</v>
      </c>
    </row>
    <row r="10" spans="1:16">
      <c r="A10" s="20" t="s">
        <v>168</v>
      </c>
      <c r="B10" t="s">
        <v>176</v>
      </c>
      <c r="M10">
        <f>M9+M8</f>
        <v>2020000000</v>
      </c>
      <c r="O10" s="20" t="s">
        <v>109</v>
      </c>
      <c r="P10" t="s">
        <v>173</v>
      </c>
    </row>
    <row r="11" spans="1:16">
      <c r="A11" t="s">
        <v>164</v>
      </c>
      <c r="M11" s="1">
        <f>M10-M4-M3</f>
        <v>1125652607</v>
      </c>
      <c r="N11" s="1">
        <f>M11*100/(M11+M4)</f>
        <v>63.289089864271716</v>
      </c>
      <c r="O11" s="20" t="s">
        <v>109</v>
      </c>
      <c r="P11" t="s">
        <v>175</v>
      </c>
    </row>
  </sheetData>
  <mergeCells count="1">
    <mergeCell ref="A2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6219-25B8-477A-A1FF-A6B3BB0E7078}">
  <dimension ref="A1:S15"/>
  <sheetViews>
    <sheetView zoomScale="85" zoomScaleNormal="85" workbookViewId="0">
      <selection activeCell="K18" sqref="K18"/>
    </sheetView>
  </sheetViews>
  <sheetFormatPr defaultRowHeight="14.4"/>
  <cols>
    <col min="6" max="6" width="10" bestFit="1" customWidth="1"/>
  </cols>
  <sheetData>
    <row r="1" spans="1:19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144</v>
      </c>
      <c r="G1" s="10" t="s">
        <v>56</v>
      </c>
      <c r="H1" s="13" t="s">
        <v>361</v>
      </c>
      <c r="I1" s="10" t="s">
        <v>362</v>
      </c>
      <c r="J1" s="10" t="s">
        <v>363</v>
      </c>
      <c r="K1" s="25" t="s">
        <v>337</v>
      </c>
    </row>
    <row r="2" spans="1:19">
      <c r="A2" s="9" t="s">
        <v>5</v>
      </c>
      <c r="B2" s="9" t="s">
        <v>6</v>
      </c>
      <c r="C2" s="9" t="s">
        <v>17</v>
      </c>
      <c r="D2" s="9" t="s">
        <v>40</v>
      </c>
      <c r="E2" s="9"/>
      <c r="F2" s="9">
        <f t="shared" ref="F2:F8" si="0">(H2/100)*I2*J2</f>
        <v>1811934</v>
      </c>
      <c r="G2" s="9" t="s">
        <v>145</v>
      </c>
      <c r="H2" s="9">
        <v>10</v>
      </c>
      <c r="I2" s="9">
        <v>86</v>
      </c>
      <c r="J2" s="9">
        <v>210690</v>
      </c>
      <c r="K2" s="14" t="s">
        <v>336</v>
      </c>
    </row>
    <row r="3" spans="1:19">
      <c r="A3" s="9" t="s">
        <v>5</v>
      </c>
      <c r="B3" s="9" t="s">
        <v>6</v>
      </c>
      <c r="C3" s="9" t="s">
        <v>17</v>
      </c>
      <c r="D3" s="9" t="s">
        <v>41</v>
      </c>
      <c r="E3" s="9"/>
      <c r="F3" s="9">
        <f t="shared" si="0"/>
        <v>3071860.2</v>
      </c>
      <c r="G3" s="9" t="s">
        <v>145</v>
      </c>
      <c r="H3" s="9">
        <v>18</v>
      </c>
      <c r="I3" s="9">
        <v>81</v>
      </c>
      <c r="J3" s="9">
        <v>210690</v>
      </c>
      <c r="K3" s="37" t="s">
        <v>336</v>
      </c>
    </row>
    <row r="4" spans="1:19">
      <c r="A4" s="9" t="s">
        <v>5</v>
      </c>
      <c r="B4" s="9" t="s">
        <v>6</v>
      </c>
      <c r="C4" s="9" t="s">
        <v>17</v>
      </c>
      <c r="D4" s="9" t="s">
        <v>42</v>
      </c>
      <c r="E4" s="9"/>
      <c r="F4" s="9">
        <f t="shared" si="0"/>
        <v>4898542.5</v>
      </c>
      <c r="G4" s="9" t="s">
        <v>145</v>
      </c>
      <c r="H4" s="9">
        <v>25</v>
      </c>
      <c r="I4" s="9">
        <v>93</v>
      </c>
      <c r="J4" s="9">
        <v>210690</v>
      </c>
      <c r="K4" s="37" t="s">
        <v>336</v>
      </c>
    </row>
    <row r="5" spans="1:19">
      <c r="A5" s="9" t="s">
        <v>5</v>
      </c>
      <c r="B5" s="9" t="s">
        <v>6</v>
      </c>
      <c r="C5" s="9" t="s">
        <v>17</v>
      </c>
      <c r="D5" s="9" t="s">
        <v>43</v>
      </c>
      <c r="E5" s="9"/>
      <c r="F5" s="9">
        <f t="shared" si="0"/>
        <v>5764478.3999999994</v>
      </c>
      <c r="G5" s="9" t="s">
        <v>145</v>
      </c>
      <c r="H5" s="9">
        <v>18</v>
      </c>
      <c r="I5" s="9">
        <v>152</v>
      </c>
      <c r="J5" s="9">
        <v>210690</v>
      </c>
      <c r="K5" s="37" t="s">
        <v>336</v>
      </c>
    </row>
    <row r="6" spans="1:19">
      <c r="A6" s="9" t="s">
        <v>5</v>
      </c>
      <c r="B6" s="9" t="s">
        <v>6</v>
      </c>
      <c r="C6" s="9" t="s">
        <v>17</v>
      </c>
      <c r="D6" s="9" t="s">
        <v>44</v>
      </c>
      <c r="E6" s="9"/>
      <c r="F6" s="9">
        <f t="shared" si="0"/>
        <v>648925.20000000007</v>
      </c>
      <c r="G6" s="9" t="s">
        <v>145</v>
      </c>
      <c r="H6" s="9">
        <v>4</v>
      </c>
      <c r="I6" s="9">
        <v>77</v>
      </c>
      <c r="J6" s="9">
        <v>210690</v>
      </c>
      <c r="K6" s="37" t="s">
        <v>336</v>
      </c>
    </row>
    <row r="7" spans="1:19">
      <c r="A7" s="9" t="s">
        <v>5</v>
      </c>
      <c r="B7" s="9" t="s">
        <v>6</v>
      </c>
      <c r="C7" s="9" t="s">
        <v>17</v>
      </c>
      <c r="D7" s="9" t="s">
        <v>45</v>
      </c>
      <c r="E7" s="9"/>
      <c r="F7" s="9">
        <f t="shared" si="0"/>
        <v>1095588</v>
      </c>
      <c r="G7" s="9" t="s">
        <v>145</v>
      </c>
      <c r="H7" s="9">
        <v>8</v>
      </c>
      <c r="I7" s="9">
        <v>65</v>
      </c>
      <c r="J7" s="9">
        <v>210690</v>
      </c>
      <c r="K7" s="37" t="s">
        <v>336</v>
      </c>
    </row>
    <row r="8" spans="1:19">
      <c r="A8" s="9" t="s">
        <v>5</v>
      </c>
      <c r="B8" s="9" t="s">
        <v>6</v>
      </c>
      <c r="C8" s="9" t="s">
        <v>17</v>
      </c>
      <c r="D8" s="9" t="s">
        <v>46</v>
      </c>
      <c r="E8" s="9"/>
      <c r="F8" s="9">
        <f t="shared" si="0"/>
        <v>1969951.5000000002</v>
      </c>
      <c r="G8" s="9" t="s">
        <v>145</v>
      </c>
      <c r="H8" s="9">
        <v>17</v>
      </c>
      <c r="I8" s="9">
        <v>55</v>
      </c>
      <c r="J8" s="9">
        <v>210690</v>
      </c>
      <c r="K8" s="37" t="s">
        <v>336</v>
      </c>
    </row>
    <row r="10" spans="1:19" s="36" customFormat="1" ht="15" thickBot="1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144</v>
      </c>
      <c r="G10" s="25" t="s">
        <v>56</v>
      </c>
      <c r="H10" s="25" t="s">
        <v>304</v>
      </c>
      <c r="I10" s="25" t="s">
        <v>305</v>
      </c>
      <c r="J10" s="25" t="s">
        <v>357</v>
      </c>
      <c r="K10" s="25" t="s">
        <v>314</v>
      </c>
    </row>
    <row r="11" spans="1:19">
      <c r="A11" s="9" t="s">
        <v>5</v>
      </c>
      <c r="B11" s="9" t="s">
        <v>6</v>
      </c>
      <c r="C11" s="9" t="s">
        <v>10</v>
      </c>
      <c r="D11" s="9" t="s">
        <v>14</v>
      </c>
      <c r="E11" s="9" t="s">
        <v>48</v>
      </c>
      <c r="F11" s="9">
        <v>70369606</v>
      </c>
      <c r="G11" s="38" t="s">
        <v>105</v>
      </c>
      <c r="H11" s="9">
        <v>9</v>
      </c>
      <c r="I11" s="9">
        <v>14</v>
      </c>
      <c r="J11" s="57" t="s">
        <v>360</v>
      </c>
      <c r="K11" s="14" t="s">
        <v>315</v>
      </c>
    </row>
    <row r="12" spans="1:19">
      <c r="A12" s="9" t="s">
        <v>5</v>
      </c>
      <c r="B12" s="9" t="s">
        <v>6</v>
      </c>
      <c r="C12" s="9" t="s">
        <v>10</v>
      </c>
      <c r="D12" s="9" t="s">
        <v>14</v>
      </c>
      <c r="E12" s="9" t="s">
        <v>49</v>
      </c>
      <c r="F12" s="9">
        <v>14049672</v>
      </c>
      <c r="G12" s="38" t="s">
        <v>105</v>
      </c>
      <c r="H12" s="9">
        <v>9</v>
      </c>
      <c r="I12" s="9">
        <v>14</v>
      </c>
      <c r="J12" s="57" t="s">
        <v>360</v>
      </c>
      <c r="K12" s="9" t="s">
        <v>316</v>
      </c>
    </row>
    <row r="13" spans="1:19">
      <c r="A13" s="9" t="s">
        <v>5</v>
      </c>
      <c r="B13" s="9" t="s">
        <v>6</v>
      </c>
      <c r="C13" s="9" t="s">
        <v>10</v>
      </c>
      <c r="D13" s="9" t="s">
        <v>14</v>
      </c>
      <c r="E13" s="9" t="s">
        <v>50</v>
      </c>
      <c r="F13" s="9">
        <v>117142830</v>
      </c>
      <c r="G13" s="38" t="s">
        <v>105</v>
      </c>
      <c r="H13" s="9">
        <v>9</v>
      </c>
      <c r="I13" s="9">
        <v>14</v>
      </c>
      <c r="J13" s="57" t="s">
        <v>360</v>
      </c>
      <c r="K13" s="9" t="s">
        <v>317</v>
      </c>
    </row>
    <row r="14" spans="1:19">
      <c r="A14" s="9" t="s">
        <v>5</v>
      </c>
      <c r="B14" s="9" t="s">
        <v>6</v>
      </c>
      <c r="C14" s="9" t="s">
        <v>10</v>
      </c>
      <c r="D14" s="9" t="s">
        <v>14</v>
      </c>
      <c r="E14" s="9" t="s">
        <v>51</v>
      </c>
      <c r="F14" s="9">
        <v>59663100</v>
      </c>
      <c r="G14" s="38" t="s">
        <v>105</v>
      </c>
      <c r="H14" s="9">
        <v>9</v>
      </c>
      <c r="I14" s="9">
        <v>14</v>
      </c>
      <c r="J14" s="57" t="s">
        <v>360</v>
      </c>
      <c r="K14" s="9" t="s">
        <v>318</v>
      </c>
    </row>
    <row r="15" spans="1:19">
      <c r="A15" s="9" t="s">
        <v>5</v>
      </c>
      <c r="B15" s="9" t="s">
        <v>6</v>
      </c>
      <c r="C15" s="9" t="s">
        <v>10</v>
      </c>
      <c r="D15" s="9" t="s">
        <v>14</v>
      </c>
      <c r="E15" s="9" t="s">
        <v>52</v>
      </c>
      <c r="F15" s="9">
        <v>106260090</v>
      </c>
      <c r="G15" s="38" t="s">
        <v>105</v>
      </c>
      <c r="H15" s="9">
        <v>9</v>
      </c>
      <c r="I15" s="9">
        <v>14</v>
      </c>
      <c r="J15" s="57" t="s">
        <v>360</v>
      </c>
      <c r="K15" s="9" t="s">
        <v>319</v>
      </c>
      <c r="L15" s="12"/>
      <c r="M15" s="12"/>
      <c r="N15" s="12"/>
      <c r="O15" s="12"/>
      <c r="P15" s="12"/>
      <c r="Q15" s="12"/>
      <c r="R15" s="12"/>
      <c r="S15" s="12"/>
    </row>
  </sheetData>
  <phoneticPr fontId="4" type="noConversion"/>
  <hyperlinks>
    <hyperlink ref="J11" r:id="rId1" location=":~:text=Based%20on%20common%20guidelines%20or,Construction%3A%209%2D14%25" display="https://www.wagnermeters.com/moisture-meters/wood-info/acceptable-moisture-levels-wood/#:~:text=Based%20on%20common%20guidelines%20or,Construction%3A%209%2D14%25" xr:uid="{E30347BA-3E64-4C5F-8A95-A82C13393152}"/>
    <hyperlink ref="K11" r:id="rId2" location=":~:text=Based%20on%20common%20guidelines%20or,Construction%3A%209%2D14%25" xr:uid="{DDD6925E-DE95-4015-A65F-A783293F4DA8}"/>
    <hyperlink ref="J12:J15" r:id="rId3" location=":~:text=Based%20on%20common%20guidelines%20or,Construction%3A%209%2D14%25" display="https://www.wagnermeters.com/moisture-meters/wood-info/acceptable-moisture-levels-wood/#:~:text=Based%20on%20common%20guidelines%20or,Construction%3A%209%2D14%25" xr:uid="{8B8AD45C-4F69-4D83-8582-2F10AE0D7662}"/>
    <hyperlink ref="K2" r:id="rId4" xr:uid="{1C795522-9345-4D1A-94C2-BEFFA8DA0D56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A4CC-24B8-4035-A392-B4179D8D7E0F}">
  <dimension ref="A1:V25"/>
  <sheetViews>
    <sheetView zoomScale="85" zoomScaleNormal="85" workbookViewId="0">
      <selection activeCell="F10" sqref="F10"/>
    </sheetView>
  </sheetViews>
  <sheetFormatPr defaultRowHeight="14.4"/>
  <cols>
    <col min="4" max="4" width="22.33203125" bestFit="1" customWidth="1"/>
    <col min="5" max="5" width="23.33203125" customWidth="1"/>
    <col min="6" max="6" width="25" customWidth="1"/>
    <col min="7" max="7" width="11" bestFit="1" customWidth="1"/>
    <col min="8" max="8" width="17.33203125" customWidth="1"/>
    <col min="9" max="9" width="12.109375" bestFit="1" customWidth="1"/>
    <col min="10" max="10" width="23.33203125" bestFit="1" customWidth="1"/>
    <col min="11" max="11" width="17.6640625" style="85" customWidth="1"/>
    <col min="12" max="12" width="17.109375" bestFit="1" customWidth="1"/>
    <col min="13" max="13" width="7.6640625" bestFit="1" customWidth="1"/>
    <col min="14" max="14" width="13" customWidth="1"/>
    <col min="15" max="15" width="12" bestFit="1" customWidth="1"/>
    <col min="16" max="16" width="10" bestFit="1" customWidth="1"/>
    <col min="17" max="17" width="10" style="36" customWidth="1"/>
    <col min="18" max="18" width="10" bestFit="1" customWidth="1"/>
    <col min="19" max="19" width="10" style="33" customWidth="1"/>
  </cols>
  <sheetData>
    <row r="1" spans="1:22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25" t="s">
        <v>162</v>
      </c>
      <c r="G1" s="10" t="s">
        <v>56</v>
      </c>
      <c r="H1" s="10" t="s">
        <v>59</v>
      </c>
      <c r="I1" s="10" t="s">
        <v>54</v>
      </c>
      <c r="J1" s="10" t="s">
        <v>55</v>
      </c>
      <c r="K1" s="10" t="s">
        <v>466</v>
      </c>
      <c r="L1" s="25" t="s">
        <v>339</v>
      </c>
      <c r="M1" s="25" t="s">
        <v>442</v>
      </c>
      <c r="N1" s="25" t="s">
        <v>151</v>
      </c>
      <c r="O1" s="93" t="s">
        <v>152</v>
      </c>
      <c r="P1" s="93"/>
      <c r="Q1" s="25" t="s">
        <v>299</v>
      </c>
      <c r="R1" s="25" t="s">
        <v>293</v>
      </c>
      <c r="S1" s="25" t="s">
        <v>295</v>
      </c>
      <c r="T1" s="25" t="s">
        <v>294</v>
      </c>
      <c r="U1" s="25" t="s">
        <v>296</v>
      </c>
      <c r="V1" s="25" t="s">
        <v>353</v>
      </c>
    </row>
    <row r="2" spans="1:22">
      <c r="A2" t="s">
        <v>5</v>
      </c>
      <c r="B2" t="s">
        <v>6</v>
      </c>
      <c r="C2" t="s">
        <v>10</v>
      </c>
      <c r="D2" t="s">
        <v>9</v>
      </c>
      <c r="E2" t="s">
        <v>11</v>
      </c>
      <c r="F2">
        <f>I2*1000/K2</f>
        <v>5447222.222222222</v>
      </c>
      <c r="G2" t="s">
        <v>467</v>
      </c>
      <c r="H2" t="s">
        <v>61</v>
      </c>
      <c r="I2">
        <v>5883000</v>
      </c>
      <c r="J2" t="s">
        <v>76</v>
      </c>
      <c r="K2" s="85">
        <v>1080</v>
      </c>
      <c r="L2">
        <f t="shared" ref="L2:L16" si="0">(R2+T2)/2/100</f>
        <v>1.9</v>
      </c>
      <c r="M2" s="30">
        <v>0</v>
      </c>
      <c r="N2" s="1">
        <f t="shared" ref="N2:N12" si="1">(I2/(1+L2)+I2*M2)*1000</f>
        <v>2028620689.6551723</v>
      </c>
      <c r="O2" t="s">
        <v>289</v>
      </c>
      <c r="P2" s="32" t="s">
        <v>290</v>
      </c>
      <c r="Q2" s="32" t="s">
        <v>300</v>
      </c>
      <c r="R2">
        <v>180</v>
      </c>
      <c r="S2" s="33" t="s">
        <v>291</v>
      </c>
      <c r="T2">
        <v>200</v>
      </c>
      <c r="U2" t="s">
        <v>292</v>
      </c>
    </row>
    <row r="3" spans="1:22">
      <c r="A3" t="s">
        <v>5</v>
      </c>
      <c r="B3" t="s">
        <v>6</v>
      </c>
      <c r="C3" t="s">
        <v>10</v>
      </c>
      <c r="D3" t="s">
        <v>8</v>
      </c>
      <c r="E3" t="s">
        <v>12</v>
      </c>
      <c r="F3" s="85">
        <f t="shared" ref="F3:F12" si="2">I3*1000/K3</f>
        <v>62037.037037037036</v>
      </c>
      <c r="G3" s="85" t="s">
        <v>467</v>
      </c>
      <c r="H3" t="s">
        <v>78</v>
      </c>
      <c r="I3">
        <v>67000</v>
      </c>
      <c r="J3" t="s">
        <v>76</v>
      </c>
      <c r="K3" s="85">
        <v>1080</v>
      </c>
      <c r="L3" s="33">
        <f t="shared" si="0"/>
        <v>0.83</v>
      </c>
      <c r="M3" s="68">
        <v>0</v>
      </c>
      <c r="N3" s="1">
        <f t="shared" si="1"/>
        <v>36612021.857923493</v>
      </c>
      <c r="O3" s="33" t="s">
        <v>289</v>
      </c>
      <c r="P3" s="32" t="s">
        <v>290</v>
      </c>
      <c r="Q3" s="32" t="s">
        <v>300</v>
      </c>
      <c r="R3" s="33">
        <v>74</v>
      </c>
      <c r="S3" s="33" t="s">
        <v>298</v>
      </c>
      <c r="T3" s="33">
        <v>92</v>
      </c>
      <c r="U3" s="33" t="s">
        <v>297</v>
      </c>
    </row>
    <row r="4" spans="1:22">
      <c r="A4" t="s">
        <v>5</v>
      </c>
      <c r="B4" t="s">
        <v>6</v>
      </c>
      <c r="C4" t="s">
        <v>10</v>
      </c>
      <c r="D4" t="s">
        <v>9</v>
      </c>
      <c r="E4" t="s">
        <v>22</v>
      </c>
      <c r="F4" s="85">
        <f t="shared" si="2"/>
        <v>245370.37037037036</v>
      </c>
      <c r="G4" s="85" t="s">
        <v>467</v>
      </c>
      <c r="H4" t="s">
        <v>61</v>
      </c>
      <c r="I4">
        <v>265000</v>
      </c>
      <c r="J4" t="s">
        <v>76</v>
      </c>
      <c r="K4" s="85">
        <v>1080</v>
      </c>
      <c r="L4" s="33">
        <f t="shared" si="0"/>
        <v>1.9</v>
      </c>
      <c r="M4" s="68">
        <v>0</v>
      </c>
      <c r="N4" s="1">
        <f t="shared" si="1"/>
        <v>91379310.344827592</v>
      </c>
      <c r="O4" s="33" t="s">
        <v>289</v>
      </c>
      <c r="P4" s="32" t="s">
        <v>290</v>
      </c>
      <c r="Q4" s="32" t="s">
        <v>300</v>
      </c>
      <c r="R4" s="33">
        <v>180</v>
      </c>
      <c r="S4" s="33" t="s">
        <v>291</v>
      </c>
      <c r="T4" s="33">
        <v>200</v>
      </c>
      <c r="U4" s="33" t="s">
        <v>292</v>
      </c>
    </row>
    <row r="5" spans="1:22">
      <c r="A5" t="s">
        <v>5</v>
      </c>
      <c r="B5" t="s">
        <v>6</v>
      </c>
      <c r="C5" t="s">
        <v>10</v>
      </c>
      <c r="D5" t="s">
        <v>9</v>
      </c>
      <c r="E5" t="s">
        <v>379</v>
      </c>
      <c r="F5" s="85">
        <f t="shared" si="2"/>
        <v>544444.4444444445</v>
      </c>
      <c r="G5" s="85" t="s">
        <v>467</v>
      </c>
      <c r="H5" t="s">
        <v>61</v>
      </c>
      <c r="I5">
        <v>588000</v>
      </c>
      <c r="J5" t="s">
        <v>76</v>
      </c>
      <c r="K5" s="85">
        <v>1080</v>
      </c>
      <c r="L5" s="33">
        <f t="shared" si="0"/>
        <v>1.9</v>
      </c>
      <c r="M5" s="68">
        <v>0</v>
      </c>
      <c r="N5" s="1">
        <f t="shared" si="1"/>
        <v>202758620.68965518</v>
      </c>
      <c r="O5" s="33" t="s">
        <v>289</v>
      </c>
      <c r="P5" s="32" t="s">
        <v>290</v>
      </c>
      <c r="Q5" s="32" t="s">
        <v>300</v>
      </c>
      <c r="R5" s="33">
        <v>180</v>
      </c>
      <c r="S5" s="33" t="s">
        <v>291</v>
      </c>
      <c r="T5" s="33">
        <v>200</v>
      </c>
      <c r="U5" s="33" t="s">
        <v>292</v>
      </c>
    </row>
    <row r="6" spans="1:22">
      <c r="A6" t="s">
        <v>5</v>
      </c>
      <c r="B6" t="s">
        <v>6</v>
      </c>
      <c r="C6" t="s">
        <v>10</v>
      </c>
      <c r="D6" t="s">
        <v>8</v>
      </c>
      <c r="E6" t="s">
        <v>379</v>
      </c>
      <c r="F6" s="85">
        <f t="shared" si="2"/>
        <v>648148.1481481482</v>
      </c>
      <c r="G6" s="85" t="s">
        <v>467</v>
      </c>
      <c r="H6" t="s">
        <v>78</v>
      </c>
      <c r="I6">
        <v>700000</v>
      </c>
      <c r="J6" t="s">
        <v>76</v>
      </c>
      <c r="K6" s="85">
        <v>1080</v>
      </c>
      <c r="L6" s="33">
        <f t="shared" si="0"/>
        <v>0.83</v>
      </c>
      <c r="M6" s="68">
        <v>0</v>
      </c>
      <c r="N6" s="1">
        <f t="shared" si="1"/>
        <v>382513661.20218581</v>
      </c>
      <c r="O6" s="33" t="s">
        <v>289</v>
      </c>
      <c r="P6" s="32" t="s">
        <v>290</v>
      </c>
      <c r="Q6" s="32" t="s">
        <v>300</v>
      </c>
      <c r="R6" s="33">
        <v>74</v>
      </c>
      <c r="S6" s="33" t="s">
        <v>298</v>
      </c>
      <c r="T6" s="33">
        <v>92</v>
      </c>
      <c r="U6" s="33" t="s">
        <v>297</v>
      </c>
    </row>
    <row r="7" spans="1:22">
      <c r="A7" t="s">
        <v>5</v>
      </c>
      <c r="B7" t="s">
        <v>6</v>
      </c>
      <c r="C7" t="s">
        <v>10</v>
      </c>
      <c r="D7" t="s">
        <v>9</v>
      </c>
      <c r="E7" t="s">
        <v>23</v>
      </c>
      <c r="F7" s="85">
        <f t="shared" si="2"/>
        <v>1221296.2962962964</v>
      </c>
      <c r="G7" s="85" t="s">
        <v>467</v>
      </c>
      <c r="H7" t="s">
        <v>61</v>
      </c>
      <c r="I7">
        <v>1319000</v>
      </c>
      <c r="J7" t="s">
        <v>76</v>
      </c>
      <c r="K7" s="85">
        <v>1080</v>
      </c>
      <c r="L7" s="33">
        <f t="shared" si="0"/>
        <v>1.9</v>
      </c>
      <c r="M7" s="68">
        <v>0</v>
      </c>
      <c r="N7" s="1">
        <f t="shared" si="1"/>
        <v>454827586.2068966</v>
      </c>
      <c r="O7" s="33" t="s">
        <v>289</v>
      </c>
      <c r="P7" s="32" t="s">
        <v>290</v>
      </c>
      <c r="Q7" s="32" t="s">
        <v>300</v>
      </c>
      <c r="R7" s="33">
        <v>180</v>
      </c>
      <c r="S7" s="33" t="s">
        <v>291</v>
      </c>
      <c r="T7" s="33">
        <v>200</v>
      </c>
      <c r="U7" s="33" t="s">
        <v>292</v>
      </c>
    </row>
    <row r="8" spans="1:22">
      <c r="A8" t="s">
        <v>5</v>
      </c>
      <c r="B8" t="s">
        <v>6</v>
      </c>
      <c r="C8" t="s">
        <v>10</v>
      </c>
      <c r="D8" t="s">
        <v>24</v>
      </c>
      <c r="E8" t="s">
        <v>282</v>
      </c>
      <c r="F8" s="85">
        <f t="shared" si="2"/>
        <v>56481.481481481482</v>
      </c>
      <c r="G8" s="85" t="s">
        <v>467</v>
      </c>
      <c r="H8" t="s">
        <v>85</v>
      </c>
      <c r="I8">
        <v>61000</v>
      </c>
      <c r="J8" t="s">
        <v>76</v>
      </c>
      <c r="K8" s="85">
        <v>1080</v>
      </c>
      <c r="L8" s="33">
        <f t="shared" si="0"/>
        <v>1.9</v>
      </c>
      <c r="M8" s="68">
        <v>0</v>
      </c>
      <c r="N8" s="1">
        <f t="shared" si="1"/>
        <v>21034482.758620691</v>
      </c>
      <c r="O8" s="33" t="s">
        <v>289</v>
      </c>
      <c r="P8" s="32" t="s">
        <v>290</v>
      </c>
      <c r="Q8" s="32" t="s">
        <v>300</v>
      </c>
      <c r="R8" s="33">
        <v>180</v>
      </c>
      <c r="S8" s="33" t="s">
        <v>291</v>
      </c>
      <c r="T8" s="33">
        <v>200</v>
      </c>
      <c r="U8" s="33" t="s">
        <v>292</v>
      </c>
    </row>
    <row r="9" spans="1:22" ht="13.95" customHeight="1">
      <c r="A9" t="s">
        <v>5</v>
      </c>
      <c r="B9" t="s">
        <v>6</v>
      </c>
      <c r="C9" t="s">
        <v>10</v>
      </c>
      <c r="D9" t="s">
        <v>9</v>
      </c>
      <c r="E9" t="s">
        <v>163</v>
      </c>
      <c r="F9" s="85">
        <f t="shared" si="2"/>
        <v>429629.62962962961</v>
      </c>
      <c r="G9" s="85" t="s">
        <v>467</v>
      </c>
      <c r="H9" t="s">
        <v>85</v>
      </c>
      <c r="I9">
        <v>464000</v>
      </c>
      <c r="J9" t="s">
        <v>77</v>
      </c>
      <c r="K9" s="85">
        <v>1080</v>
      </c>
      <c r="L9" s="33">
        <f t="shared" si="0"/>
        <v>1.9</v>
      </c>
      <c r="M9" s="68">
        <v>0</v>
      </c>
      <c r="N9" s="1">
        <f t="shared" si="1"/>
        <v>160000000</v>
      </c>
      <c r="O9" s="33" t="s">
        <v>289</v>
      </c>
      <c r="P9" s="32" t="s">
        <v>290</v>
      </c>
      <c r="Q9" s="32" t="s">
        <v>300</v>
      </c>
      <c r="R9" s="33">
        <v>180</v>
      </c>
      <c r="S9" s="33" t="s">
        <v>291</v>
      </c>
      <c r="T9" s="33">
        <v>200</v>
      </c>
      <c r="U9" s="33" t="s">
        <v>292</v>
      </c>
    </row>
    <row r="10" spans="1:22" s="21" customFormat="1">
      <c r="A10" s="21" t="s">
        <v>5</v>
      </c>
      <c r="B10" s="21" t="s">
        <v>6</v>
      </c>
      <c r="C10" s="21" t="s">
        <v>10</v>
      </c>
      <c r="D10" s="21" t="s">
        <v>9</v>
      </c>
      <c r="E10" s="21" t="s">
        <v>182</v>
      </c>
      <c r="F10" s="85">
        <f t="shared" si="2"/>
        <v>9075000</v>
      </c>
      <c r="G10" s="85" t="s">
        <v>467</v>
      </c>
      <c r="H10" s="21" t="s">
        <v>180</v>
      </c>
      <c r="I10" s="21">
        <v>9801000</v>
      </c>
      <c r="J10" s="21" t="s">
        <v>77</v>
      </c>
      <c r="K10" s="85">
        <v>1080</v>
      </c>
      <c r="L10" s="33">
        <f t="shared" si="0"/>
        <v>1.9</v>
      </c>
      <c r="M10" s="68">
        <v>0</v>
      </c>
      <c r="N10" s="1">
        <f t="shared" si="1"/>
        <v>3379655172.4137936</v>
      </c>
      <c r="O10" s="33" t="s">
        <v>289</v>
      </c>
      <c r="P10" s="32" t="s">
        <v>290</v>
      </c>
      <c r="Q10" s="32" t="s">
        <v>300</v>
      </c>
      <c r="R10" s="33">
        <v>180</v>
      </c>
      <c r="S10" s="33" t="s">
        <v>291</v>
      </c>
      <c r="T10" s="33">
        <v>200</v>
      </c>
      <c r="U10" s="33" t="s">
        <v>292</v>
      </c>
    </row>
    <row r="11" spans="1:22" s="21" customFormat="1">
      <c r="A11" s="21" t="s">
        <v>5</v>
      </c>
      <c r="B11" s="21" t="s">
        <v>6</v>
      </c>
      <c r="C11" s="21" t="s">
        <v>10</v>
      </c>
      <c r="D11" s="21" t="s">
        <v>8</v>
      </c>
      <c r="E11" s="28" t="s">
        <v>183</v>
      </c>
      <c r="F11" s="85">
        <f t="shared" si="2"/>
        <v>804629.62962962966</v>
      </c>
      <c r="G11" s="85" t="s">
        <v>467</v>
      </c>
      <c r="H11" s="21" t="s">
        <v>180</v>
      </c>
      <c r="I11" s="21">
        <v>869000</v>
      </c>
      <c r="J11" s="21" t="s">
        <v>77</v>
      </c>
      <c r="K11" s="85">
        <v>1080</v>
      </c>
      <c r="L11" s="33">
        <f t="shared" si="0"/>
        <v>0.83</v>
      </c>
      <c r="M11" s="68">
        <v>0</v>
      </c>
      <c r="N11" s="1">
        <f t="shared" si="1"/>
        <v>474863387.97814208</v>
      </c>
      <c r="O11" s="33" t="s">
        <v>289</v>
      </c>
      <c r="P11" s="32" t="s">
        <v>290</v>
      </c>
      <c r="Q11" s="32" t="s">
        <v>300</v>
      </c>
      <c r="R11" s="33">
        <v>74</v>
      </c>
      <c r="S11" s="33" t="s">
        <v>298</v>
      </c>
      <c r="T11" s="33">
        <v>92</v>
      </c>
      <c r="U11" s="33" t="s">
        <v>297</v>
      </c>
    </row>
    <row r="12" spans="1:22" s="53" customFormat="1">
      <c r="A12" s="53" t="s">
        <v>5</v>
      </c>
      <c r="B12" s="53" t="s">
        <v>6</v>
      </c>
      <c r="C12" s="53" t="s">
        <v>10</v>
      </c>
      <c r="D12" s="53" t="s">
        <v>9</v>
      </c>
      <c r="E12" s="53" t="s">
        <v>33</v>
      </c>
      <c r="F12" s="85">
        <f t="shared" si="2"/>
        <v>284259.25925925927</v>
      </c>
      <c r="G12" s="85" t="s">
        <v>467</v>
      </c>
      <c r="H12" s="53" t="s">
        <v>180</v>
      </c>
      <c r="I12" s="53">
        <v>307000</v>
      </c>
      <c r="J12" s="53" t="s">
        <v>77</v>
      </c>
      <c r="K12" s="85">
        <v>1080</v>
      </c>
      <c r="L12" s="53">
        <f t="shared" ref="L12" si="3">(R12+T12)/2/100</f>
        <v>0.83</v>
      </c>
      <c r="M12" s="68">
        <v>0</v>
      </c>
      <c r="N12" s="1">
        <f t="shared" si="1"/>
        <v>167759562.84153005</v>
      </c>
      <c r="O12" s="53" t="s">
        <v>289</v>
      </c>
      <c r="P12" s="32" t="s">
        <v>290</v>
      </c>
      <c r="Q12" s="32" t="s">
        <v>300</v>
      </c>
      <c r="R12" s="53">
        <v>74</v>
      </c>
      <c r="S12" s="53" t="s">
        <v>298</v>
      </c>
      <c r="T12" s="53">
        <v>92</v>
      </c>
      <c r="U12" s="53" t="s">
        <v>297</v>
      </c>
    </row>
    <row r="13" spans="1:22" s="21" customFormat="1">
      <c r="A13" s="21" t="s">
        <v>5</v>
      </c>
      <c r="B13" s="21" t="s">
        <v>6</v>
      </c>
      <c r="C13" s="21" t="s">
        <v>7</v>
      </c>
      <c r="D13" s="21" t="s">
        <v>9</v>
      </c>
      <c r="F13" s="85">
        <f>I13/K13</f>
        <v>635014.71203703701</v>
      </c>
      <c r="G13" s="85" t="s">
        <v>467</v>
      </c>
      <c r="H13" s="21" t="s">
        <v>181</v>
      </c>
      <c r="I13" s="21">
        <v>685815889</v>
      </c>
      <c r="J13" s="21" t="s">
        <v>338</v>
      </c>
      <c r="K13" s="85">
        <v>1080</v>
      </c>
      <c r="L13" s="33">
        <f t="shared" si="0"/>
        <v>1.9</v>
      </c>
      <c r="M13" s="68">
        <v>0</v>
      </c>
      <c r="N13" s="1">
        <f>(I13/(1+L13)+I13*M13)</f>
        <v>236488237.58620691</v>
      </c>
      <c r="O13" s="33" t="s">
        <v>289</v>
      </c>
      <c r="P13" s="32" t="s">
        <v>290</v>
      </c>
      <c r="Q13" s="32" t="s">
        <v>300</v>
      </c>
      <c r="R13" s="33">
        <v>180</v>
      </c>
      <c r="S13" s="33" t="s">
        <v>291</v>
      </c>
      <c r="T13" s="33">
        <v>200</v>
      </c>
      <c r="U13" s="33" t="s">
        <v>292</v>
      </c>
      <c r="V13" s="14" t="s">
        <v>352</v>
      </c>
    </row>
    <row r="14" spans="1:22" s="21" customFormat="1">
      <c r="A14" s="21" t="s">
        <v>5</v>
      </c>
      <c r="B14" s="21" t="s">
        <v>6</v>
      </c>
      <c r="C14" s="21" t="s">
        <v>16</v>
      </c>
      <c r="D14" s="21" t="s">
        <v>9</v>
      </c>
      <c r="F14" s="85">
        <f t="shared" ref="F14:F16" si="4">I14/K14</f>
        <v>164106.45833333334</v>
      </c>
      <c r="G14" s="85" t="s">
        <v>467</v>
      </c>
      <c r="H14" s="27" t="s">
        <v>181</v>
      </c>
      <c r="I14" s="27">
        <v>177234975</v>
      </c>
      <c r="J14" s="30" t="s">
        <v>338</v>
      </c>
      <c r="K14" s="85">
        <v>1080</v>
      </c>
      <c r="L14" s="33">
        <f t="shared" si="0"/>
        <v>1.9</v>
      </c>
      <c r="M14" s="68">
        <v>0</v>
      </c>
      <c r="N14" s="1">
        <f>(I14/(1+L14)+I14*M14)</f>
        <v>61115508.62068966</v>
      </c>
      <c r="O14" s="33" t="s">
        <v>289</v>
      </c>
      <c r="P14" s="32" t="s">
        <v>290</v>
      </c>
      <c r="Q14" s="32" t="s">
        <v>300</v>
      </c>
      <c r="R14" s="33">
        <v>180</v>
      </c>
      <c r="S14" s="33" t="s">
        <v>291</v>
      </c>
      <c r="T14" s="33">
        <v>200</v>
      </c>
      <c r="U14" s="33" t="s">
        <v>292</v>
      </c>
      <c r="V14" s="14" t="s">
        <v>352</v>
      </c>
    </row>
    <row r="15" spans="1:22" s="21" customFormat="1">
      <c r="A15" s="21" t="s">
        <v>5</v>
      </c>
      <c r="B15" s="21" t="s">
        <v>6</v>
      </c>
      <c r="C15" s="21" t="s">
        <v>7</v>
      </c>
      <c r="D15" s="21" t="s">
        <v>8</v>
      </c>
      <c r="F15" s="85">
        <f t="shared" si="4"/>
        <v>69750.65833333334</v>
      </c>
      <c r="G15" s="85" t="s">
        <v>467</v>
      </c>
      <c r="H15" s="27" t="s">
        <v>181</v>
      </c>
      <c r="I15" s="21">
        <v>75330711</v>
      </c>
      <c r="J15" s="30" t="s">
        <v>338</v>
      </c>
      <c r="K15" s="85">
        <v>1080</v>
      </c>
      <c r="L15" s="33">
        <f t="shared" si="0"/>
        <v>0.83</v>
      </c>
      <c r="M15" s="68">
        <v>0</v>
      </c>
      <c r="N15" s="1">
        <f>(I15/(1+L15)+I15*M15)</f>
        <v>41164322.950819671</v>
      </c>
      <c r="O15" s="33" t="s">
        <v>289</v>
      </c>
      <c r="P15" s="32" t="s">
        <v>290</v>
      </c>
      <c r="Q15" s="32" t="s">
        <v>300</v>
      </c>
      <c r="R15" s="33">
        <v>74</v>
      </c>
      <c r="S15" s="33" t="s">
        <v>298</v>
      </c>
      <c r="T15" s="33">
        <v>92</v>
      </c>
      <c r="U15" s="33" t="s">
        <v>297</v>
      </c>
      <c r="V15" s="14" t="s">
        <v>352</v>
      </c>
    </row>
    <row r="16" spans="1:22" s="21" customFormat="1">
      <c r="A16" s="21" t="s">
        <v>5</v>
      </c>
      <c r="B16" s="21" t="s">
        <v>6</v>
      </c>
      <c r="C16" s="21" t="s">
        <v>16</v>
      </c>
      <c r="D16" s="21" t="s">
        <v>8</v>
      </c>
      <c r="F16" s="85">
        <f t="shared" si="4"/>
        <v>4110.4518518518516</v>
      </c>
      <c r="G16" s="85" t="s">
        <v>467</v>
      </c>
      <c r="H16" s="27" t="s">
        <v>181</v>
      </c>
      <c r="I16" s="27">
        <v>4439288</v>
      </c>
      <c r="J16" s="30" t="s">
        <v>338</v>
      </c>
      <c r="K16" s="85">
        <v>1080</v>
      </c>
      <c r="L16" s="33">
        <f t="shared" si="0"/>
        <v>0.83</v>
      </c>
      <c r="M16" s="68">
        <v>0</v>
      </c>
      <c r="N16" s="1">
        <f>(I16/(1+L16)+I16*M16)</f>
        <v>2425840.43715847</v>
      </c>
      <c r="O16" s="33" t="s">
        <v>289</v>
      </c>
      <c r="P16" s="32" t="s">
        <v>290</v>
      </c>
      <c r="Q16" s="32" t="s">
        <v>300</v>
      </c>
      <c r="R16" s="33">
        <v>74</v>
      </c>
      <c r="S16" s="33" t="s">
        <v>298</v>
      </c>
      <c r="T16" s="33">
        <v>92</v>
      </c>
      <c r="U16" s="33" t="s">
        <v>297</v>
      </c>
      <c r="V16" s="14" t="s">
        <v>352</v>
      </c>
    </row>
    <row r="18" spans="6:7">
      <c r="F18" s="20"/>
    </row>
    <row r="19" spans="6:7">
      <c r="F19" s="20"/>
    </row>
    <row r="20" spans="6:7">
      <c r="F20" s="20"/>
      <c r="G20" s="27"/>
    </row>
    <row r="21" spans="6:7">
      <c r="F21" s="20"/>
      <c r="G21" s="27"/>
    </row>
    <row r="22" spans="6:7">
      <c r="F22" s="20"/>
    </row>
    <row r="23" spans="6:7">
      <c r="F23" s="20"/>
    </row>
    <row r="24" spans="6:7">
      <c r="F24" s="20"/>
    </row>
    <row r="25" spans="6:7">
      <c r="F25" s="20"/>
    </row>
  </sheetData>
  <mergeCells count="1">
    <mergeCell ref="O1:P1"/>
  </mergeCells>
  <phoneticPr fontId="4" type="noConversion"/>
  <hyperlinks>
    <hyperlink ref="V13" r:id="rId1" display="https://cdn.forestresearch.gov.uk/2022/02/investigationroundwoodtradedata.pdf" xr:uid="{13AA0A8B-253D-48AD-BC07-573E43AE1082}"/>
    <hyperlink ref="V14:V16" r:id="rId2" display="https://cdn.forestresearch.gov.uk/2022/02/investigationroundwoodtradedata.pdf" xr:uid="{1BC02B4E-B998-4C4F-9A0B-E660EA3B64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4388-0384-4F9C-95B3-1AFB080C2548}">
  <dimension ref="A1:W11"/>
  <sheetViews>
    <sheetView zoomScale="85" zoomScaleNormal="85" workbookViewId="0">
      <selection activeCell="G2" sqref="G2:G7"/>
    </sheetView>
  </sheetViews>
  <sheetFormatPr defaultRowHeight="14.4"/>
  <cols>
    <col min="4" max="4" width="18.6640625" bestFit="1" customWidth="1"/>
    <col min="5" max="5" width="16.6640625" bestFit="1" customWidth="1"/>
    <col min="6" max="6" width="17" customWidth="1"/>
    <col min="7" max="7" width="11" bestFit="1" customWidth="1"/>
    <col min="8" max="8" width="9.88671875" bestFit="1" customWidth="1"/>
    <col min="9" max="9" width="11.6640625" bestFit="1" customWidth="1"/>
    <col min="10" max="10" width="19.5546875" bestFit="1" customWidth="1"/>
    <col min="11" max="11" width="19.5546875" style="85" customWidth="1"/>
    <col min="12" max="12" width="10.33203125" customWidth="1"/>
    <col min="13" max="13" width="12.6640625" style="20" bestFit="1" customWidth="1"/>
    <col min="14" max="14" width="7.5546875" style="20" customWidth="1"/>
    <col min="15" max="15" width="23.109375" style="20" customWidth="1"/>
    <col min="16" max="16" width="12.44140625" customWidth="1"/>
    <col min="17" max="17" width="10.5546875" style="20" customWidth="1"/>
    <col min="18" max="18" width="8" style="20" customWidth="1"/>
    <col min="19" max="19" width="29.88671875" bestFit="1" customWidth="1"/>
    <col min="20" max="20" width="9.5546875" style="20" customWidth="1"/>
    <col min="21" max="21" width="9.6640625" style="20" customWidth="1"/>
    <col min="22" max="22" width="9.44140625" style="20" customWidth="1"/>
  </cols>
  <sheetData>
    <row r="1" spans="1:23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106</v>
      </c>
      <c r="G1" s="10" t="s">
        <v>56</v>
      </c>
      <c r="H1" s="10" t="s">
        <v>59</v>
      </c>
      <c r="I1" s="10" t="s">
        <v>54</v>
      </c>
      <c r="J1" s="10" t="s">
        <v>55</v>
      </c>
      <c r="K1" s="10" t="s">
        <v>466</v>
      </c>
      <c r="L1" s="10" t="s">
        <v>443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32"/>
    </row>
    <row r="2" spans="1:23">
      <c r="A2" t="s">
        <v>5</v>
      </c>
      <c r="B2" t="s">
        <v>6</v>
      </c>
      <c r="C2" t="s">
        <v>13</v>
      </c>
      <c r="D2" t="s">
        <v>14</v>
      </c>
      <c r="E2" t="s">
        <v>11</v>
      </c>
      <c r="F2" s="1">
        <f>I2*K2</f>
        <v>3614600</v>
      </c>
      <c r="G2" t="s">
        <v>467</v>
      </c>
      <c r="H2" t="s">
        <v>81</v>
      </c>
      <c r="I2">
        <v>3410000</v>
      </c>
      <c r="J2" t="s">
        <v>58</v>
      </c>
      <c r="K2" s="85">
        <v>1.06</v>
      </c>
      <c r="L2" s="1">
        <v>464</v>
      </c>
      <c r="M2" s="16"/>
      <c r="N2" s="16"/>
      <c r="O2" s="22"/>
      <c r="P2" s="16"/>
      <c r="Q2" s="16"/>
      <c r="R2" s="16"/>
      <c r="S2" s="16"/>
      <c r="T2" s="16"/>
      <c r="U2" s="16"/>
      <c r="V2" s="16"/>
    </row>
    <row r="3" spans="1:23">
      <c r="A3" t="s">
        <v>5</v>
      </c>
      <c r="B3" t="s">
        <v>6</v>
      </c>
      <c r="C3" t="s">
        <v>13</v>
      </c>
      <c r="D3" t="s">
        <v>15</v>
      </c>
      <c r="E3" t="s">
        <v>12</v>
      </c>
      <c r="F3" s="1">
        <f t="shared" ref="F3:F7" si="0">I3*K3</f>
        <v>49820</v>
      </c>
      <c r="G3" s="85" t="s">
        <v>467</v>
      </c>
      <c r="H3" t="s">
        <v>81</v>
      </c>
      <c r="I3">
        <v>47000</v>
      </c>
      <c r="J3" t="s">
        <v>58</v>
      </c>
      <c r="K3" s="85">
        <v>1.06</v>
      </c>
      <c r="L3" s="1">
        <v>595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36"/>
    </row>
    <row r="4" spans="1:23">
      <c r="A4" t="s">
        <v>5</v>
      </c>
      <c r="B4" t="s">
        <v>6</v>
      </c>
      <c r="C4" t="s">
        <v>7</v>
      </c>
      <c r="D4" t="s">
        <v>14</v>
      </c>
      <c r="F4" s="1">
        <f t="shared" si="0"/>
        <v>6823220</v>
      </c>
      <c r="G4" s="85" t="s">
        <v>467</v>
      </c>
      <c r="H4" t="s">
        <v>81</v>
      </c>
      <c r="I4">
        <v>6437000</v>
      </c>
      <c r="J4" t="s">
        <v>58</v>
      </c>
      <c r="K4" s="85">
        <v>1.06</v>
      </c>
      <c r="L4" s="1">
        <v>464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36"/>
    </row>
    <row r="5" spans="1:23">
      <c r="A5" t="s">
        <v>5</v>
      </c>
      <c r="B5" t="s">
        <v>6</v>
      </c>
      <c r="C5" t="s">
        <v>7</v>
      </c>
      <c r="D5" t="s">
        <v>15</v>
      </c>
      <c r="F5" s="1">
        <f t="shared" si="0"/>
        <v>639180</v>
      </c>
      <c r="G5" s="85" t="s">
        <v>467</v>
      </c>
      <c r="H5" t="s">
        <v>81</v>
      </c>
      <c r="I5">
        <v>603000</v>
      </c>
      <c r="J5" t="s">
        <v>58</v>
      </c>
      <c r="K5" s="85">
        <v>1.06</v>
      </c>
      <c r="L5" s="1">
        <v>595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36"/>
    </row>
    <row r="6" spans="1:23">
      <c r="A6" t="s">
        <v>5</v>
      </c>
      <c r="B6" t="s">
        <v>6</v>
      </c>
      <c r="C6" t="s">
        <v>16</v>
      </c>
      <c r="D6" t="s">
        <v>14</v>
      </c>
      <c r="F6" s="1">
        <f t="shared" si="0"/>
        <v>204580</v>
      </c>
      <c r="G6" s="85" t="s">
        <v>467</v>
      </c>
      <c r="H6" t="s">
        <v>81</v>
      </c>
      <c r="I6">
        <v>193000</v>
      </c>
      <c r="J6" t="s">
        <v>58</v>
      </c>
      <c r="K6" s="85">
        <v>1.06</v>
      </c>
      <c r="L6" s="1">
        <v>464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36"/>
    </row>
    <row r="7" spans="1:23">
      <c r="A7" t="s">
        <v>5</v>
      </c>
      <c r="B7" t="s">
        <v>6</v>
      </c>
      <c r="C7" t="s">
        <v>16</v>
      </c>
      <c r="D7" t="s">
        <v>15</v>
      </c>
      <c r="F7" s="1">
        <f t="shared" si="0"/>
        <v>23320</v>
      </c>
      <c r="G7" s="85" t="s">
        <v>467</v>
      </c>
      <c r="H7" t="s">
        <v>81</v>
      </c>
      <c r="I7">
        <v>22000</v>
      </c>
      <c r="J7" t="s">
        <v>58</v>
      </c>
      <c r="K7" s="85">
        <v>1.06</v>
      </c>
      <c r="L7" s="1">
        <v>595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36"/>
    </row>
    <row r="9" spans="1:23">
      <c r="A9" s="24"/>
      <c r="B9" s="24"/>
      <c r="C9" s="24"/>
      <c r="D9" s="24"/>
      <c r="E9" s="24"/>
      <c r="F9" s="24"/>
    </row>
    <row r="10" spans="1:23" ht="17.399999999999999">
      <c r="A10" s="74"/>
      <c r="B10" s="74"/>
      <c r="C10" s="74"/>
      <c r="D10" s="74"/>
      <c r="E10" s="74"/>
      <c r="F10" s="24"/>
    </row>
    <row r="11" spans="1:23">
      <c r="A11" s="24"/>
      <c r="B11" s="24"/>
      <c r="C11" s="24"/>
      <c r="D11" s="24"/>
      <c r="E11" s="24"/>
      <c r="F11" s="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8540-EFF6-4A14-BA74-50317608A529}">
  <dimension ref="A1:T17"/>
  <sheetViews>
    <sheetView zoomScale="85" zoomScaleNormal="85" workbookViewId="0">
      <selection activeCell="B32" sqref="B32"/>
    </sheetView>
  </sheetViews>
  <sheetFormatPr defaultRowHeight="14.4"/>
  <cols>
    <col min="4" max="4" width="18.88671875" bestFit="1" customWidth="1"/>
    <col min="6" max="6" width="12" bestFit="1" customWidth="1"/>
    <col min="8" max="8" width="9.5546875" bestFit="1" customWidth="1"/>
    <col min="9" max="9" width="10.6640625" bestFit="1" customWidth="1"/>
    <col min="10" max="10" width="24.88671875" bestFit="1" customWidth="1"/>
    <col min="11" max="11" width="24.88671875" style="85" customWidth="1"/>
    <col min="12" max="12" width="13.44140625" bestFit="1" customWidth="1"/>
    <col min="13" max="13" width="9.6640625" customWidth="1"/>
    <col min="14" max="14" width="11" bestFit="1" customWidth="1"/>
    <col min="15" max="15" width="18" customWidth="1"/>
    <col min="16" max="16" width="11" bestFit="1" customWidth="1"/>
  </cols>
  <sheetData>
    <row r="1" spans="1:20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106</v>
      </c>
      <c r="G1" s="10" t="s">
        <v>56</v>
      </c>
      <c r="H1" s="10" t="s">
        <v>59</v>
      </c>
      <c r="I1" s="10" t="s">
        <v>54</v>
      </c>
      <c r="J1" s="10" t="s">
        <v>55</v>
      </c>
      <c r="K1" s="10" t="s">
        <v>466</v>
      </c>
      <c r="L1" s="25" t="s">
        <v>79</v>
      </c>
      <c r="M1" s="25" t="s">
        <v>301</v>
      </c>
      <c r="N1" s="25" t="s">
        <v>302</v>
      </c>
      <c r="O1" s="93" t="s">
        <v>152</v>
      </c>
      <c r="P1" s="93"/>
      <c r="Q1" s="25" t="s">
        <v>293</v>
      </c>
      <c r="R1" s="25" t="s">
        <v>295</v>
      </c>
      <c r="S1" s="25" t="s">
        <v>294</v>
      </c>
      <c r="T1" s="25" t="s">
        <v>296</v>
      </c>
    </row>
    <row r="2" spans="1:20">
      <c r="A2" s="20" t="s">
        <v>5</v>
      </c>
      <c r="B2" s="20" t="s">
        <v>6</v>
      </c>
      <c r="C2" s="20" t="s">
        <v>10</v>
      </c>
      <c r="D2" s="20" t="s">
        <v>24</v>
      </c>
      <c r="E2" s="20" t="s">
        <v>23</v>
      </c>
      <c r="F2" s="1">
        <f>I2*1000/K2</f>
        <v>1359259.2592592593</v>
      </c>
      <c r="G2" s="20" t="s">
        <v>467</v>
      </c>
      <c r="H2" s="20" t="s">
        <v>86</v>
      </c>
      <c r="I2" s="20">
        <v>1468000</v>
      </c>
      <c r="J2" s="20" t="s">
        <v>77</v>
      </c>
      <c r="K2" s="85">
        <v>1080</v>
      </c>
      <c r="L2" s="20">
        <f>(Q2+S2)/2/100</f>
        <v>1.9</v>
      </c>
      <c r="M2" s="30">
        <v>0.08</v>
      </c>
      <c r="N2" s="1">
        <f>(I2/(1+L2)+I2*M2)*1000</f>
        <v>623646896.5517242</v>
      </c>
      <c r="O2" s="33" t="s">
        <v>289</v>
      </c>
      <c r="P2" s="32" t="s">
        <v>290</v>
      </c>
      <c r="Q2" s="33">
        <v>180</v>
      </c>
      <c r="R2" s="33" t="s">
        <v>291</v>
      </c>
      <c r="S2" s="33">
        <v>200</v>
      </c>
      <c r="T2" s="33" t="s">
        <v>292</v>
      </c>
    </row>
    <row r="3" spans="1:20">
      <c r="A3" s="20" t="s">
        <v>5</v>
      </c>
      <c r="B3" s="20" t="s">
        <v>6</v>
      </c>
      <c r="C3" s="20" t="s">
        <v>10</v>
      </c>
      <c r="D3" s="20" t="s">
        <v>25</v>
      </c>
      <c r="E3" s="20" t="s">
        <v>23</v>
      </c>
      <c r="F3" s="1">
        <f t="shared" ref="F3:F4" si="0">I3*1000/K3</f>
        <v>911111.11111111112</v>
      </c>
      <c r="G3" s="85" t="s">
        <v>467</v>
      </c>
      <c r="H3" s="20" t="s">
        <v>86</v>
      </c>
      <c r="I3" s="20">
        <v>984000</v>
      </c>
      <c r="J3" s="20" t="s">
        <v>77</v>
      </c>
      <c r="K3" s="85">
        <v>1080</v>
      </c>
      <c r="L3" s="33">
        <f t="shared" ref="L3:L4" si="1">(Q3+S3)/2/100</f>
        <v>1.9</v>
      </c>
      <c r="M3" s="36">
        <v>0.08</v>
      </c>
      <c r="N3" s="1">
        <f t="shared" ref="N3:N4" si="2">(I3/(1+L3)+I3*M3)*1000</f>
        <v>418030344.82758617</v>
      </c>
      <c r="O3" s="33" t="s">
        <v>289</v>
      </c>
      <c r="P3" s="32" t="s">
        <v>290</v>
      </c>
      <c r="Q3" s="33">
        <v>180</v>
      </c>
      <c r="R3" s="33" t="s">
        <v>291</v>
      </c>
      <c r="S3" s="33">
        <v>200</v>
      </c>
      <c r="T3" s="33" t="s">
        <v>292</v>
      </c>
    </row>
    <row r="4" spans="1:20">
      <c r="A4" s="20" t="s">
        <v>5</v>
      </c>
      <c r="B4" s="20" t="s">
        <v>6</v>
      </c>
      <c r="C4" s="20" t="s">
        <v>10</v>
      </c>
      <c r="D4" s="20" t="s">
        <v>24</v>
      </c>
      <c r="E4" s="20" t="s">
        <v>32</v>
      </c>
      <c r="F4" s="1">
        <f t="shared" si="0"/>
        <v>56481.481481481482</v>
      </c>
      <c r="G4" s="85" t="s">
        <v>467</v>
      </c>
      <c r="H4" s="20" t="s">
        <v>85</v>
      </c>
      <c r="I4" s="20">
        <v>61000</v>
      </c>
      <c r="J4" s="20" t="s">
        <v>76</v>
      </c>
      <c r="K4" s="85">
        <v>1080</v>
      </c>
      <c r="L4" s="33">
        <f t="shared" si="1"/>
        <v>1.575</v>
      </c>
      <c r="M4" s="36">
        <v>0.08</v>
      </c>
      <c r="N4" s="1">
        <f t="shared" si="2"/>
        <v>28569320.388349511</v>
      </c>
      <c r="O4" s="33" t="s">
        <v>289</v>
      </c>
      <c r="P4" s="32" t="s">
        <v>290</v>
      </c>
      <c r="Q4" s="33">
        <v>115</v>
      </c>
      <c r="R4" s="33" t="s">
        <v>291</v>
      </c>
      <c r="S4" s="33">
        <v>200</v>
      </c>
      <c r="T4" s="33" t="s">
        <v>292</v>
      </c>
    </row>
    <row r="5" spans="1:20" s="39" customFormat="1">
      <c r="F5" s="1"/>
      <c r="K5" s="85"/>
      <c r="N5" s="1"/>
      <c r="P5" s="32"/>
    </row>
    <row r="6" spans="1:20" s="39" customFormat="1">
      <c r="F6" s="1"/>
      <c r="K6" s="85"/>
      <c r="N6" s="1"/>
      <c r="O6" s="1"/>
      <c r="Q6" s="16"/>
    </row>
    <row r="7" spans="1:20" s="39" customFormat="1">
      <c r="F7" s="1"/>
      <c r="K7" s="85"/>
      <c r="N7" s="1"/>
      <c r="O7" s="1"/>
      <c r="Q7" s="16"/>
    </row>
    <row r="8" spans="1:20" s="30" customFormat="1">
      <c r="F8" s="1"/>
      <c r="K8" s="85"/>
      <c r="N8" s="1"/>
      <c r="O8" s="1"/>
      <c r="Q8" s="16"/>
    </row>
    <row r="9" spans="1:20" s="30" customFormat="1">
      <c r="K9" s="85"/>
      <c r="M9" s="1"/>
      <c r="O9" s="1"/>
      <c r="Q9" s="16"/>
    </row>
    <row r="10" spans="1:20" s="30" customFormat="1" ht="15" thickBot="1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106</v>
      </c>
      <c r="G10" s="10" t="s">
        <v>56</v>
      </c>
      <c r="H10" s="10" t="s">
        <v>59</v>
      </c>
      <c r="I10" s="10" t="s">
        <v>54</v>
      </c>
      <c r="J10" s="10" t="s">
        <v>55</v>
      </c>
      <c r="K10" s="10"/>
      <c r="L10" s="25" t="s">
        <v>284</v>
      </c>
      <c r="M10" s="25" t="s">
        <v>285</v>
      </c>
      <c r="N10" s="25" t="s">
        <v>302</v>
      </c>
      <c r="O10" s="25" t="s">
        <v>288</v>
      </c>
      <c r="Q10" s="16"/>
    </row>
    <row r="11" spans="1:20">
      <c r="A11" s="30" t="s">
        <v>5</v>
      </c>
      <c r="B11" s="30" t="s">
        <v>6</v>
      </c>
      <c r="C11" s="30" t="s">
        <v>10</v>
      </c>
      <c r="D11" s="30" t="s">
        <v>24</v>
      </c>
      <c r="E11" s="30" t="s">
        <v>33</v>
      </c>
      <c r="F11" s="30">
        <f>I11*1000/K11</f>
        <v>563169.16488222696</v>
      </c>
      <c r="G11" s="30" t="s">
        <v>57</v>
      </c>
      <c r="H11" s="30" t="s">
        <v>88</v>
      </c>
      <c r="I11" s="30">
        <v>263000</v>
      </c>
      <c r="J11" s="30" t="s">
        <v>80</v>
      </c>
      <c r="K11" s="85">
        <v>467</v>
      </c>
      <c r="L11" s="20">
        <v>0.25</v>
      </c>
      <c r="M11" s="20">
        <v>0.4</v>
      </c>
      <c r="N11" s="20">
        <f>(I11*(1/1+(L11+M11)/2)+I11*M4)*1000</f>
        <v>369515000</v>
      </c>
      <c r="O11" s="14" t="s">
        <v>283</v>
      </c>
      <c r="P11" s="20"/>
      <c r="Q11" s="16"/>
      <c r="R11" s="14"/>
    </row>
    <row r="12" spans="1:20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5" spans="1:20">
      <c r="P15" s="20"/>
      <c r="Q15" s="20"/>
      <c r="R15" s="20"/>
    </row>
    <row r="16" spans="1:20" ht="15" thickBot="1">
      <c r="A16" s="10" t="s">
        <v>0</v>
      </c>
      <c r="B16" s="10" t="s">
        <v>1</v>
      </c>
      <c r="C16" s="10" t="s">
        <v>2</v>
      </c>
      <c r="D16" s="10" t="s">
        <v>3</v>
      </c>
      <c r="E16" s="10" t="s">
        <v>4</v>
      </c>
      <c r="F16" s="10" t="s">
        <v>106</v>
      </c>
      <c r="G16" s="10" t="s">
        <v>56</v>
      </c>
      <c r="H16" s="10" t="s">
        <v>59</v>
      </c>
      <c r="I16" s="10" t="s">
        <v>54</v>
      </c>
      <c r="J16" s="10" t="s">
        <v>55</v>
      </c>
      <c r="K16" s="10"/>
      <c r="L16" s="25" t="s">
        <v>159</v>
      </c>
      <c r="M16" s="25" t="s">
        <v>160</v>
      </c>
      <c r="N16" s="25" t="s">
        <v>281</v>
      </c>
      <c r="P16" s="20"/>
      <c r="Q16" s="20"/>
      <c r="R16" s="20"/>
    </row>
    <row r="17" spans="1:18">
      <c r="A17" s="20" t="s">
        <v>5</v>
      </c>
      <c r="B17" s="20" t="s">
        <v>6</v>
      </c>
      <c r="C17" s="20" t="s">
        <v>10</v>
      </c>
      <c r="D17" s="20" t="s">
        <v>24</v>
      </c>
      <c r="E17" s="20" t="s">
        <v>379</v>
      </c>
      <c r="F17" s="20">
        <f>'By-products '!L17*'By-products '!K17</f>
        <v>3300310</v>
      </c>
      <c r="G17" s="20" t="s">
        <v>105</v>
      </c>
      <c r="H17" s="20" t="s">
        <v>141</v>
      </c>
      <c r="I17" s="20">
        <v>0.2</v>
      </c>
      <c r="J17" s="20" t="s">
        <v>287</v>
      </c>
      <c r="K17" s="85">
        <v>1.06</v>
      </c>
      <c r="L17">
        <f>N17*M17</f>
        <v>3113500</v>
      </c>
      <c r="M17">
        <v>0.5</v>
      </c>
      <c r="N17" s="1">
        <f>Observations!K4</f>
        <v>6227000</v>
      </c>
      <c r="P17" s="20"/>
      <c r="Q17" s="20"/>
      <c r="R17" s="20"/>
    </row>
  </sheetData>
  <mergeCells count="1">
    <mergeCell ref="O1:P1"/>
  </mergeCells>
  <phoneticPr fontId="4" type="noConversion"/>
  <hyperlinks>
    <hyperlink ref="O11" r:id="rId1" display="https://www.woodsure.co.uk/fuels/woodchip/" xr:uid="{678BC4CA-7FB8-4039-B58D-60CDE7F43E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05DF-3722-4C1F-A47D-E2D7C1F18062}">
  <dimension ref="A1:O11"/>
  <sheetViews>
    <sheetView zoomScale="85" zoomScaleNormal="85" workbookViewId="0">
      <selection activeCell="H21" sqref="H21"/>
    </sheetView>
  </sheetViews>
  <sheetFormatPr defaultRowHeight="14.4"/>
  <cols>
    <col min="3" max="3" width="13.44140625" bestFit="1" customWidth="1"/>
    <col min="6" max="6" width="12.33203125" bestFit="1" customWidth="1"/>
    <col min="9" max="9" width="9.109375" style="85"/>
    <col min="10" max="10" width="14.5546875" customWidth="1"/>
    <col min="11" max="11" width="7.88671875" style="36" customWidth="1"/>
    <col min="12" max="13" width="9.6640625" style="20" customWidth="1"/>
  </cols>
  <sheetData>
    <row r="1" spans="1:15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137</v>
      </c>
      <c r="G1" s="10" t="s">
        <v>56</v>
      </c>
      <c r="H1" s="10" t="s">
        <v>59</v>
      </c>
      <c r="I1" s="10" t="s">
        <v>466</v>
      </c>
      <c r="J1" s="10" t="s">
        <v>75</v>
      </c>
      <c r="K1" s="10" t="s">
        <v>312</v>
      </c>
      <c r="L1" s="10" t="s">
        <v>156</v>
      </c>
      <c r="M1" s="10" t="s">
        <v>157</v>
      </c>
      <c r="N1" s="10" t="s">
        <v>54</v>
      </c>
      <c r="O1" s="10" t="s">
        <v>55</v>
      </c>
    </row>
    <row r="2" spans="1:15">
      <c r="A2" t="s">
        <v>5</v>
      </c>
      <c r="B2" t="s">
        <v>6</v>
      </c>
      <c r="C2" t="s">
        <v>17</v>
      </c>
      <c r="D2" t="s">
        <v>18</v>
      </c>
      <c r="F2">
        <f>N2*I2</f>
        <v>1389350</v>
      </c>
      <c r="G2" t="s">
        <v>467</v>
      </c>
      <c r="H2" t="s">
        <v>81</v>
      </c>
      <c r="I2" s="85">
        <v>1.85</v>
      </c>
      <c r="J2">
        <f>(L2+M2)/2</f>
        <v>685</v>
      </c>
      <c r="K2" s="36" t="s">
        <v>313</v>
      </c>
      <c r="L2" s="20">
        <v>620</v>
      </c>
      <c r="M2" s="20">
        <v>750</v>
      </c>
      <c r="N2">
        <v>751000</v>
      </c>
      <c r="O2" t="s">
        <v>58</v>
      </c>
    </row>
    <row r="3" spans="1:15">
      <c r="A3" t="s">
        <v>5</v>
      </c>
      <c r="B3" t="s">
        <v>6</v>
      </c>
      <c r="C3" t="s">
        <v>17</v>
      </c>
      <c r="D3" t="s">
        <v>19</v>
      </c>
      <c r="F3" s="85">
        <f t="shared" ref="F3:F10" si="0">N3*I3</f>
        <v>3942100</v>
      </c>
      <c r="G3" s="85" t="s">
        <v>467</v>
      </c>
      <c r="H3" t="s">
        <v>81</v>
      </c>
      <c r="I3" s="85">
        <v>1.58</v>
      </c>
      <c r="J3" s="36">
        <f t="shared" ref="J3:J11" si="1">(L3+M3)/2</f>
        <v>640</v>
      </c>
      <c r="L3" s="20">
        <v>600</v>
      </c>
      <c r="M3" s="20">
        <v>680</v>
      </c>
      <c r="N3">
        <v>2495000</v>
      </c>
      <c r="O3" t="s">
        <v>58</v>
      </c>
    </row>
    <row r="4" spans="1:15">
      <c r="A4" t="s">
        <v>5</v>
      </c>
      <c r="B4" t="s">
        <v>6</v>
      </c>
      <c r="C4" t="s">
        <v>16</v>
      </c>
      <c r="D4" t="s">
        <v>18</v>
      </c>
      <c r="F4" s="85">
        <f t="shared" si="0"/>
        <v>114700</v>
      </c>
      <c r="G4" s="85" t="s">
        <v>467</v>
      </c>
      <c r="H4" t="s">
        <v>81</v>
      </c>
      <c r="I4" s="85">
        <v>1.85</v>
      </c>
      <c r="J4" s="36">
        <f t="shared" si="1"/>
        <v>685</v>
      </c>
      <c r="L4" s="36">
        <v>620</v>
      </c>
      <c r="M4" s="36">
        <v>750</v>
      </c>
      <c r="N4">
        <v>62000</v>
      </c>
      <c r="O4" t="s">
        <v>58</v>
      </c>
    </row>
    <row r="5" spans="1:15">
      <c r="A5" t="s">
        <v>5</v>
      </c>
      <c r="B5" t="s">
        <v>6</v>
      </c>
      <c r="C5" t="s">
        <v>16</v>
      </c>
      <c r="D5" t="s">
        <v>19</v>
      </c>
      <c r="F5" s="85">
        <f t="shared" si="0"/>
        <v>369720</v>
      </c>
      <c r="G5" s="85" t="s">
        <v>467</v>
      </c>
      <c r="H5" t="s">
        <v>81</v>
      </c>
      <c r="I5" s="85">
        <v>1.58</v>
      </c>
      <c r="J5" s="36">
        <f t="shared" si="1"/>
        <v>640</v>
      </c>
      <c r="L5" s="20">
        <v>600</v>
      </c>
      <c r="M5" s="20">
        <v>680</v>
      </c>
      <c r="N5">
        <v>234000</v>
      </c>
      <c r="O5" t="s">
        <v>58</v>
      </c>
    </row>
    <row r="6" spans="1:15">
      <c r="A6" t="s">
        <v>5</v>
      </c>
      <c r="B6" t="s">
        <v>6</v>
      </c>
      <c r="C6" t="s">
        <v>7</v>
      </c>
      <c r="D6" t="s">
        <v>18</v>
      </c>
      <c r="F6" s="85">
        <f t="shared" si="0"/>
        <v>1653900</v>
      </c>
      <c r="G6" s="85" t="s">
        <v>467</v>
      </c>
      <c r="H6" t="s">
        <v>81</v>
      </c>
      <c r="I6" s="85">
        <v>1.85</v>
      </c>
      <c r="J6" s="36">
        <f t="shared" si="1"/>
        <v>685</v>
      </c>
      <c r="K6" s="36" t="s">
        <v>313</v>
      </c>
      <c r="L6" s="20">
        <v>620</v>
      </c>
      <c r="M6" s="20">
        <v>750</v>
      </c>
      <c r="N6">
        <v>894000</v>
      </c>
      <c r="O6" t="s">
        <v>58</v>
      </c>
    </row>
    <row r="7" spans="1:15">
      <c r="A7" t="s">
        <v>5</v>
      </c>
      <c r="B7" t="s">
        <v>6</v>
      </c>
      <c r="C7" t="s">
        <v>7</v>
      </c>
      <c r="D7" t="s">
        <v>19</v>
      </c>
      <c r="F7" s="85">
        <f t="shared" si="0"/>
        <v>2012920</v>
      </c>
      <c r="G7" s="85" t="s">
        <v>467</v>
      </c>
      <c r="H7" t="s">
        <v>81</v>
      </c>
      <c r="I7" s="85">
        <v>1.58</v>
      </c>
      <c r="J7" s="36">
        <f t="shared" si="1"/>
        <v>640</v>
      </c>
      <c r="L7" s="20">
        <v>600</v>
      </c>
      <c r="M7" s="20">
        <v>680</v>
      </c>
      <c r="N7">
        <v>1274000</v>
      </c>
      <c r="O7" t="s">
        <v>58</v>
      </c>
    </row>
    <row r="8" spans="1:15">
      <c r="A8" t="s">
        <v>5</v>
      </c>
      <c r="B8" t="s">
        <v>6</v>
      </c>
      <c r="C8" t="s">
        <v>16</v>
      </c>
      <c r="D8" t="s">
        <v>20</v>
      </c>
      <c r="F8" s="85">
        <f t="shared" si="0"/>
        <v>2000</v>
      </c>
      <c r="G8" s="85" t="s">
        <v>467</v>
      </c>
      <c r="H8" t="s">
        <v>81</v>
      </c>
      <c r="I8" s="85">
        <v>1</v>
      </c>
      <c r="J8" s="36">
        <f t="shared" si="1"/>
        <v>426.5</v>
      </c>
      <c r="L8" s="20">
        <v>296</v>
      </c>
      <c r="M8" s="20">
        <v>557</v>
      </c>
      <c r="N8">
        <v>2000</v>
      </c>
      <c r="O8" t="s">
        <v>58</v>
      </c>
    </row>
    <row r="9" spans="1:15">
      <c r="A9" t="s">
        <v>5</v>
      </c>
      <c r="B9" t="s">
        <v>6</v>
      </c>
      <c r="C9" t="s">
        <v>7</v>
      </c>
      <c r="D9" t="s">
        <v>20</v>
      </c>
      <c r="F9" s="85">
        <f t="shared" si="0"/>
        <v>53000</v>
      </c>
      <c r="G9" s="85" t="s">
        <v>467</v>
      </c>
      <c r="H9" t="s">
        <v>81</v>
      </c>
      <c r="I9" s="85">
        <v>1</v>
      </c>
      <c r="J9" s="36">
        <f t="shared" si="1"/>
        <v>426.5</v>
      </c>
      <c r="L9" s="20">
        <v>296</v>
      </c>
      <c r="M9" s="20">
        <v>557</v>
      </c>
      <c r="N9">
        <v>53000</v>
      </c>
      <c r="O9" t="s">
        <v>58</v>
      </c>
    </row>
    <row r="10" spans="1:15">
      <c r="A10" t="s">
        <v>5</v>
      </c>
      <c r="B10" t="s">
        <v>6</v>
      </c>
      <c r="C10" t="s">
        <v>16</v>
      </c>
      <c r="D10" t="s">
        <v>21</v>
      </c>
      <c r="F10" s="85">
        <f t="shared" si="0"/>
        <v>84280</v>
      </c>
      <c r="G10" s="85" t="s">
        <v>467</v>
      </c>
      <c r="H10" t="s">
        <v>81</v>
      </c>
      <c r="I10" s="85">
        <v>0.98</v>
      </c>
      <c r="J10" s="36">
        <f t="shared" si="1"/>
        <v>550</v>
      </c>
      <c r="L10" s="20">
        <v>400</v>
      </c>
      <c r="M10" s="20">
        <v>700</v>
      </c>
      <c r="N10">
        <v>86000</v>
      </c>
      <c r="O10" t="s">
        <v>58</v>
      </c>
    </row>
    <row r="11" spans="1:15">
      <c r="A11" t="s">
        <v>5</v>
      </c>
      <c r="B11" t="s">
        <v>6</v>
      </c>
      <c r="C11" t="s">
        <v>7</v>
      </c>
      <c r="D11" t="s">
        <v>21</v>
      </c>
      <c r="F11" s="85">
        <f>N11*I11</f>
        <v>1423940</v>
      </c>
      <c r="G11" s="85" t="s">
        <v>467</v>
      </c>
      <c r="H11" t="s">
        <v>81</v>
      </c>
      <c r="I11" s="85">
        <v>0.98</v>
      </c>
      <c r="J11" s="36">
        <f t="shared" si="1"/>
        <v>550</v>
      </c>
      <c r="L11" s="20">
        <v>400</v>
      </c>
      <c r="M11" s="20">
        <v>700</v>
      </c>
      <c r="N11">
        <v>1453000</v>
      </c>
      <c r="O1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5B72-062C-4E2F-BEB3-9BAC7ACB674E}">
  <dimension ref="A1:S17"/>
  <sheetViews>
    <sheetView zoomScale="85" zoomScaleNormal="85" workbookViewId="0">
      <selection activeCell="C32" sqref="C32"/>
    </sheetView>
  </sheetViews>
  <sheetFormatPr defaultRowHeight="14.4"/>
  <cols>
    <col min="4" max="4" width="18.88671875" bestFit="1" customWidth="1"/>
    <col min="5" max="5" width="9.5546875" bestFit="1" customWidth="1"/>
    <col min="6" max="6" width="21.109375" customWidth="1"/>
    <col min="10" max="10" width="13.5546875" customWidth="1"/>
    <col min="11" max="11" width="13.5546875" style="85" customWidth="1"/>
    <col min="13" max="13" width="20.5546875" customWidth="1"/>
    <col min="14" max="14" width="8.88671875" style="34"/>
    <col min="15" max="15" width="15" customWidth="1"/>
  </cols>
  <sheetData>
    <row r="1" spans="1:19" s="20" customFormat="1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106</v>
      </c>
      <c r="G1" s="10" t="s">
        <v>56</v>
      </c>
      <c r="H1" s="10" t="s">
        <v>59</v>
      </c>
      <c r="I1" s="10" t="s">
        <v>54</v>
      </c>
      <c r="J1" s="10" t="s">
        <v>55</v>
      </c>
      <c r="K1" s="10" t="s">
        <v>466</v>
      </c>
      <c r="L1" s="25" t="s">
        <v>161</v>
      </c>
      <c r="M1" s="25" t="s">
        <v>151</v>
      </c>
      <c r="N1" s="35" t="s">
        <v>301</v>
      </c>
      <c r="O1" s="25" t="s">
        <v>302</v>
      </c>
      <c r="P1" s="25" t="s">
        <v>284</v>
      </c>
      <c r="Q1" s="25" t="s">
        <v>285</v>
      </c>
      <c r="R1" s="25" t="s">
        <v>288</v>
      </c>
    </row>
    <row r="2" spans="1:19">
      <c r="A2" s="20" t="s">
        <v>5</v>
      </c>
      <c r="B2" s="20" t="s">
        <v>6</v>
      </c>
      <c r="C2" s="20" t="s">
        <v>7</v>
      </c>
      <c r="D2" s="20" t="s">
        <v>26</v>
      </c>
      <c r="E2" s="20"/>
      <c r="F2" s="1">
        <f>I2*1000*K2</f>
        <v>7476820</v>
      </c>
      <c r="G2" s="20" t="s">
        <v>467</v>
      </c>
      <c r="H2" s="20" t="s">
        <v>81</v>
      </c>
      <c r="I2" s="20">
        <v>2509</v>
      </c>
      <c r="J2" s="20" t="s">
        <v>80</v>
      </c>
      <c r="K2" s="87">
        <f>2.98</f>
        <v>2.98</v>
      </c>
      <c r="L2">
        <v>0.05</v>
      </c>
      <c r="M2" s="26">
        <f t="shared" ref="M2:M17" si="0">(I2/(1+L2))*1000000</f>
        <v>2389523809.5238094</v>
      </c>
      <c r="N2" s="34">
        <v>0</v>
      </c>
      <c r="O2" s="26">
        <f>M2*N2+M2</f>
        <v>2389523809.5238094</v>
      </c>
      <c r="P2" s="20">
        <v>0.04</v>
      </c>
      <c r="Q2" s="16">
        <v>0.06</v>
      </c>
      <c r="R2" s="14" t="s">
        <v>303</v>
      </c>
    </row>
    <row r="3" spans="1:19">
      <c r="A3" s="20" t="s">
        <v>5</v>
      </c>
      <c r="B3" s="20" t="s">
        <v>6</v>
      </c>
      <c r="C3" s="20" t="s">
        <v>7</v>
      </c>
      <c r="D3" s="20" t="s">
        <v>27</v>
      </c>
      <c r="E3" s="20"/>
      <c r="F3" s="1">
        <f t="shared" ref="F3:F17" si="1">I3*1000*K3</f>
        <v>1345900</v>
      </c>
      <c r="G3" s="85" t="s">
        <v>467</v>
      </c>
      <c r="H3" s="20" t="s">
        <v>81</v>
      </c>
      <c r="I3" s="20">
        <v>313</v>
      </c>
      <c r="J3" s="20" t="s">
        <v>80</v>
      </c>
      <c r="K3" s="85">
        <v>4.3</v>
      </c>
      <c r="L3" s="20">
        <v>0.05</v>
      </c>
      <c r="M3" s="26">
        <f t="shared" si="0"/>
        <v>298095238.09523809</v>
      </c>
      <c r="N3" s="34">
        <v>0</v>
      </c>
      <c r="O3" s="26">
        <f t="shared" ref="O3:O17" si="2">M3*N3+M3</f>
        <v>298095238.09523809</v>
      </c>
      <c r="P3" s="30">
        <v>0.04</v>
      </c>
      <c r="Q3" s="16">
        <v>0.06</v>
      </c>
      <c r="R3" s="14" t="s">
        <v>303</v>
      </c>
    </row>
    <row r="4" spans="1:19">
      <c r="A4" s="20" t="s">
        <v>5</v>
      </c>
      <c r="B4" s="20" t="s">
        <v>6</v>
      </c>
      <c r="C4" s="20" t="s">
        <v>7</v>
      </c>
      <c r="D4" s="20" t="s">
        <v>28</v>
      </c>
      <c r="E4" s="20"/>
      <c r="F4" s="1">
        <f t="shared" si="1"/>
        <v>8455860</v>
      </c>
      <c r="G4" s="85" t="s">
        <v>467</v>
      </c>
      <c r="H4" s="20" t="s">
        <v>81</v>
      </c>
      <c r="I4" s="20">
        <v>2237</v>
      </c>
      <c r="J4" s="20" t="s">
        <v>80</v>
      </c>
      <c r="K4" s="85">
        <v>3.78</v>
      </c>
      <c r="L4" s="20">
        <v>0.05</v>
      </c>
      <c r="M4" s="26">
        <f t="shared" si="0"/>
        <v>2130476190.4761903</v>
      </c>
      <c r="N4" s="34">
        <v>0</v>
      </c>
      <c r="O4" s="26">
        <f t="shared" si="2"/>
        <v>2130476190.4761903</v>
      </c>
      <c r="P4" s="30">
        <v>0.04</v>
      </c>
      <c r="Q4" s="16">
        <v>0.06</v>
      </c>
      <c r="R4" s="14" t="s">
        <v>303</v>
      </c>
    </row>
    <row r="5" spans="1:19">
      <c r="A5" s="20" t="s">
        <v>5</v>
      </c>
      <c r="B5" s="20" t="s">
        <v>6</v>
      </c>
      <c r="C5" s="20" t="s">
        <v>7</v>
      </c>
      <c r="D5" s="20" t="s">
        <v>29</v>
      </c>
      <c r="E5" s="20"/>
      <c r="F5" s="1">
        <f t="shared" si="1"/>
        <v>425700</v>
      </c>
      <c r="G5" s="85" t="s">
        <v>467</v>
      </c>
      <c r="H5" s="20" t="s">
        <v>81</v>
      </c>
      <c r="I5" s="20">
        <v>129</v>
      </c>
      <c r="J5" s="20" t="s">
        <v>80</v>
      </c>
      <c r="K5" s="85">
        <v>3.3</v>
      </c>
      <c r="L5" s="20">
        <v>0.05</v>
      </c>
      <c r="M5" s="26">
        <f t="shared" si="0"/>
        <v>122857142.85714285</v>
      </c>
      <c r="N5" s="34">
        <v>0</v>
      </c>
      <c r="O5" s="26">
        <f t="shared" si="2"/>
        <v>122857142.85714285</v>
      </c>
      <c r="P5" s="30">
        <v>0.04</v>
      </c>
      <c r="Q5" s="16">
        <v>0.06</v>
      </c>
      <c r="R5" s="14" t="s">
        <v>303</v>
      </c>
    </row>
    <row r="6" spans="1:19">
      <c r="A6" s="20" t="s">
        <v>5</v>
      </c>
      <c r="B6" s="20" t="s">
        <v>6</v>
      </c>
      <c r="C6" s="20" t="s">
        <v>16</v>
      </c>
      <c r="D6" s="20" t="s">
        <v>26</v>
      </c>
      <c r="E6" s="20"/>
      <c r="F6" s="1">
        <f t="shared" si="1"/>
        <v>1048960</v>
      </c>
      <c r="G6" s="85" t="s">
        <v>467</v>
      </c>
      <c r="H6" s="20" t="s">
        <v>81</v>
      </c>
      <c r="I6" s="20">
        <v>352</v>
      </c>
      <c r="J6" s="20" t="s">
        <v>80</v>
      </c>
      <c r="K6" s="87">
        <f>2.98</f>
        <v>2.98</v>
      </c>
      <c r="L6" s="20">
        <v>0.05</v>
      </c>
      <c r="M6" s="26">
        <f t="shared" si="0"/>
        <v>335238095.23809522</v>
      </c>
      <c r="N6" s="34">
        <v>0</v>
      </c>
      <c r="O6" s="26">
        <f t="shared" si="2"/>
        <v>335238095.23809522</v>
      </c>
      <c r="P6" s="30">
        <v>0.04</v>
      </c>
      <c r="Q6" s="16">
        <v>0.06</v>
      </c>
      <c r="R6" s="14" t="s">
        <v>303</v>
      </c>
    </row>
    <row r="7" spans="1:19">
      <c r="A7" s="20" t="s">
        <v>5</v>
      </c>
      <c r="B7" s="20" t="s">
        <v>6</v>
      </c>
      <c r="C7" s="20" t="s">
        <v>16</v>
      </c>
      <c r="D7" s="20" t="s">
        <v>27</v>
      </c>
      <c r="E7" s="20"/>
      <c r="F7" s="1">
        <f t="shared" si="1"/>
        <v>30100</v>
      </c>
      <c r="G7" s="85" t="s">
        <v>467</v>
      </c>
      <c r="H7" s="20" t="s">
        <v>81</v>
      </c>
      <c r="I7" s="20">
        <v>7</v>
      </c>
      <c r="J7" s="20" t="s">
        <v>80</v>
      </c>
      <c r="K7" s="85">
        <v>4.3</v>
      </c>
      <c r="L7" s="20">
        <v>0.05</v>
      </c>
      <c r="M7" s="26">
        <f t="shared" si="0"/>
        <v>6666666.666666666</v>
      </c>
      <c r="N7" s="34">
        <v>0</v>
      </c>
      <c r="O7" s="26">
        <f t="shared" si="2"/>
        <v>6666666.666666666</v>
      </c>
      <c r="P7" s="30">
        <v>0.04</v>
      </c>
      <c r="Q7" s="16">
        <v>0.06</v>
      </c>
      <c r="R7" s="14" t="s">
        <v>303</v>
      </c>
    </row>
    <row r="8" spans="1:19">
      <c r="A8" s="20" t="s">
        <v>5</v>
      </c>
      <c r="B8" s="20" t="s">
        <v>6</v>
      </c>
      <c r="C8" s="20" t="s">
        <v>16</v>
      </c>
      <c r="D8" s="20" t="s">
        <v>28</v>
      </c>
      <c r="E8" s="20"/>
      <c r="F8" s="1">
        <f t="shared" si="1"/>
        <v>1270080</v>
      </c>
      <c r="G8" s="85" t="s">
        <v>467</v>
      </c>
      <c r="H8" s="20" t="s">
        <v>81</v>
      </c>
      <c r="I8" s="20">
        <v>336</v>
      </c>
      <c r="J8" s="20" t="s">
        <v>80</v>
      </c>
      <c r="K8" s="85">
        <v>3.78</v>
      </c>
      <c r="L8" s="20">
        <v>0.05</v>
      </c>
      <c r="M8" s="26">
        <f t="shared" si="0"/>
        <v>320000000</v>
      </c>
      <c r="N8" s="34">
        <v>0</v>
      </c>
      <c r="O8" s="26">
        <f t="shared" si="2"/>
        <v>320000000</v>
      </c>
      <c r="P8" s="30">
        <v>0.04</v>
      </c>
      <c r="Q8" s="16">
        <v>0.06</v>
      </c>
      <c r="R8" s="14" t="s">
        <v>303</v>
      </c>
    </row>
    <row r="9" spans="1:19">
      <c r="A9" s="20" t="s">
        <v>5</v>
      </c>
      <c r="B9" s="20" t="s">
        <v>6</v>
      </c>
      <c r="C9" s="20" t="s">
        <v>7</v>
      </c>
      <c r="D9" s="20" t="s">
        <v>30</v>
      </c>
      <c r="E9" s="20"/>
      <c r="F9" s="1">
        <f t="shared" si="1"/>
        <v>3318900</v>
      </c>
      <c r="G9" s="85" t="s">
        <v>467</v>
      </c>
      <c r="H9" s="20" t="s">
        <v>82</v>
      </c>
      <c r="I9" s="20">
        <v>897</v>
      </c>
      <c r="J9" s="20" t="s">
        <v>80</v>
      </c>
      <c r="K9" s="85">
        <v>3.7</v>
      </c>
      <c r="L9" s="20">
        <v>0.05</v>
      </c>
      <c r="M9" s="26">
        <f t="shared" si="0"/>
        <v>854285714.28571427</v>
      </c>
      <c r="N9" s="34">
        <v>0</v>
      </c>
      <c r="O9" s="26">
        <f t="shared" si="2"/>
        <v>854285714.28571427</v>
      </c>
      <c r="P9" s="30">
        <v>0.04</v>
      </c>
      <c r="Q9" s="16">
        <v>0.06</v>
      </c>
      <c r="R9" s="14" t="s">
        <v>303</v>
      </c>
    </row>
    <row r="10" spans="1:19">
      <c r="A10" s="20" t="s">
        <v>5</v>
      </c>
      <c r="B10" s="20" t="s">
        <v>6</v>
      </c>
      <c r="C10" s="20" t="s">
        <v>16</v>
      </c>
      <c r="D10" s="20" t="s">
        <v>30</v>
      </c>
      <c r="E10" s="20"/>
      <c r="F10" s="1">
        <f t="shared" si="1"/>
        <v>33300</v>
      </c>
      <c r="G10" s="85" t="s">
        <v>467</v>
      </c>
      <c r="H10" s="20" t="s">
        <v>83</v>
      </c>
      <c r="I10" s="20">
        <v>9</v>
      </c>
      <c r="J10" s="20" t="s">
        <v>80</v>
      </c>
      <c r="K10" s="85">
        <v>3.7</v>
      </c>
      <c r="L10" s="20">
        <v>0.05</v>
      </c>
      <c r="M10" s="26">
        <f t="shared" si="0"/>
        <v>8571428.5714285709</v>
      </c>
      <c r="N10" s="34">
        <v>0</v>
      </c>
      <c r="O10" s="26">
        <f t="shared" si="2"/>
        <v>8571428.5714285709</v>
      </c>
      <c r="P10" s="30">
        <v>0.1</v>
      </c>
      <c r="Q10" s="16">
        <v>0.12</v>
      </c>
      <c r="R10" s="57" t="s">
        <v>354</v>
      </c>
      <c r="S10" s="56"/>
    </row>
    <row r="11" spans="1:19">
      <c r="A11" s="20" t="s">
        <v>5</v>
      </c>
      <c r="B11" s="20" t="s">
        <v>6</v>
      </c>
      <c r="C11" s="20" t="s">
        <v>17</v>
      </c>
      <c r="D11" s="20" t="s">
        <v>26</v>
      </c>
      <c r="E11" s="20"/>
      <c r="F11" s="1">
        <f t="shared" si="1"/>
        <v>2735640</v>
      </c>
      <c r="G11" s="85" t="s">
        <v>467</v>
      </c>
      <c r="H11" s="20" t="s">
        <v>81</v>
      </c>
      <c r="I11" s="20">
        <v>918</v>
      </c>
      <c r="J11" s="20" t="s">
        <v>80</v>
      </c>
      <c r="K11" s="87">
        <f>2.98</f>
        <v>2.98</v>
      </c>
      <c r="L11" s="20">
        <v>0.05</v>
      </c>
      <c r="M11" s="26">
        <f t="shared" si="0"/>
        <v>874285714.28571427</v>
      </c>
      <c r="N11" s="34">
        <v>0</v>
      </c>
      <c r="O11" s="26">
        <f t="shared" si="2"/>
        <v>874285714.28571427</v>
      </c>
      <c r="P11" s="53">
        <v>0.1</v>
      </c>
      <c r="Q11" s="16">
        <v>0.12</v>
      </c>
      <c r="R11" s="57" t="s">
        <v>354</v>
      </c>
      <c r="S11" s="56"/>
    </row>
    <row r="12" spans="1:19">
      <c r="A12" s="20" t="s">
        <v>5</v>
      </c>
      <c r="B12" s="20" t="s">
        <v>6</v>
      </c>
      <c r="C12" s="20" t="s">
        <v>17</v>
      </c>
      <c r="D12" s="20" t="s">
        <v>27</v>
      </c>
      <c r="E12" s="20"/>
      <c r="F12" s="1">
        <f t="shared" si="1"/>
        <v>3276600</v>
      </c>
      <c r="G12" s="85" t="s">
        <v>467</v>
      </c>
      <c r="H12" s="20" t="s">
        <v>81</v>
      </c>
      <c r="I12" s="20">
        <v>762</v>
      </c>
      <c r="J12" s="20" t="s">
        <v>80</v>
      </c>
      <c r="K12" s="85">
        <v>4.3</v>
      </c>
      <c r="L12" s="20">
        <v>0.05</v>
      </c>
      <c r="M12" s="26">
        <f t="shared" si="0"/>
        <v>725714285.71428561</v>
      </c>
      <c r="N12" s="34">
        <v>0</v>
      </c>
      <c r="O12" s="26">
        <f t="shared" si="2"/>
        <v>725714285.71428561</v>
      </c>
      <c r="P12" s="30">
        <v>0.04</v>
      </c>
      <c r="Q12" s="16">
        <v>0.06</v>
      </c>
      <c r="R12" s="14" t="s">
        <v>303</v>
      </c>
    </row>
    <row r="13" spans="1:19">
      <c r="A13" s="20" t="s">
        <v>5</v>
      </c>
      <c r="B13" s="20" t="s">
        <v>6</v>
      </c>
      <c r="C13" s="20" t="s">
        <v>17</v>
      </c>
      <c r="D13" s="20" t="s">
        <v>28</v>
      </c>
      <c r="E13" s="20"/>
      <c r="F13" s="1">
        <f t="shared" si="1"/>
        <v>7121520</v>
      </c>
      <c r="G13" s="85" t="s">
        <v>467</v>
      </c>
      <c r="H13" s="20" t="s">
        <v>81</v>
      </c>
      <c r="I13" s="20">
        <v>1884</v>
      </c>
      <c r="J13" s="20" t="s">
        <v>80</v>
      </c>
      <c r="K13" s="85">
        <v>3.78</v>
      </c>
      <c r="L13" s="20">
        <v>0.05</v>
      </c>
      <c r="M13" s="26">
        <f t="shared" si="0"/>
        <v>1794285714.2857141</v>
      </c>
      <c r="N13" s="34">
        <v>0</v>
      </c>
      <c r="O13" s="26">
        <f t="shared" si="2"/>
        <v>1794285714.2857141</v>
      </c>
      <c r="P13" s="30">
        <v>0.04</v>
      </c>
      <c r="Q13" s="16">
        <v>0.06</v>
      </c>
      <c r="R13" s="14" t="s">
        <v>303</v>
      </c>
    </row>
    <row r="14" spans="1:19">
      <c r="A14" s="20" t="s">
        <v>5</v>
      </c>
      <c r="B14" s="20" t="s">
        <v>6</v>
      </c>
      <c r="C14" s="20" t="s">
        <v>17</v>
      </c>
      <c r="D14" s="20" t="s">
        <v>29</v>
      </c>
      <c r="E14" s="20"/>
      <c r="F14" s="1">
        <f t="shared" si="1"/>
        <v>947100</v>
      </c>
      <c r="G14" s="85" t="s">
        <v>467</v>
      </c>
      <c r="H14" s="20" t="s">
        <v>81</v>
      </c>
      <c r="I14" s="20">
        <v>287</v>
      </c>
      <c r="J14" s="20" t="s">
        <v>80</v>
      </c>
      <c r="K14" s="85">
        <v>3.3</v>
      </c>
      <c r="L14" s="20">
        <v>0.05</v>
      </c>
      <c r="M14" s="26">
        <f t="shared" si="0"/>
        <v>273333333.33333331</v>
      </c>
      <c r="N14" s="34">
        <v>0</v>
      </c>
      <c r="O14" s="26">
        <f t="shared" si="2"/>
        <v>273333333.33333331</v>
      </c>
      <c r="P14" s="30">
        <v>0.04</v>
      </c>
      <c r="Q14" s="16">
        <v>0.06</v>
      </c>
      <c r="R14" s="14" t="s">
        <v>303</v>
      </c>
    </row>
    <row r="15" spans="1:19">
      <c r="A15" s="20" t="s">
        <v>5</v>
      </c>
      <c r="B15" s="20" t="s">
        <v>6</v>
      </c>
      <c r="C15" s="20" t="s">
        <v>10</v>
      </c>
      <c r="D15" s="20" t="s">
        <v>35</v>
      </c>
      <c r="E15" s="20" t="s">
        <v>185</v>
      </c>
      <c r="F15" s="1">
        <f t="shared" si="1"/>
        <v>11470000</v>
      </c>
      <c r="G15" s="85" t="s">
        <v>467</v>
      </c>
      <c r="H15" s="20" t="s">
        <v>142</v>
      </c>
      <c r="I15" s="20">
        <v>3100</v>
      </c>
      <c r="J15" s="20" t="s">
        <v>80</v>
      </c>
      <c r="K15" s="85">
        <v>3.7</v>
      </c>
      <c r="L15" s="20">
        <v>0.05</v>
      </c>
      <c r="M15" s="26">
        <f t="shared" si="0"/>
        <v>2952380952.3809524</v>
      </c>
      <c r="N15" s="34">
        <v>0</v>
      </c>
      <c r="O15" s="26">
        <f t="shared" si="2"/>
        <v>2952380952.3809524</v>
      </c>
      <c r="P15" s="30">
        <v>0.04</v>
      </c>
      <c r="Q15" s="16">
        <v>0.06</v>
      </c>
      <c r="R15" s="14" t="s">
        <v>303</v>
      </c>
    </row>
    <row r="16" spans="1:19">
      <c r="A16" s="20" t="s">
        <v>5</v>
      </c>
      <c r="B16" s="20" t="s">
        <v>6</v>
      </c>
      <c r="C16" s="20" t="s">
        <v>7</v>
      </c>
      <c r="D16" s="20" t="s">
        <v>35</v>
      </c>
      <c r="E16" s="20"/>
      <c r="F16" s="1">
        <f t="shared" si="1"/>
        <v>307100</v>
      </c>
      <c r="G16" s="85" t="s">
        <v>467</v>
      </c>
      <c r="H16" s="20" t="s">
        <v>142</v>
      </c>
      <c r="I16" s="20">
        <v>83</v>
      </c>
      <c r="J16" s="20" t="s">
        <v>80</v>
      </c>
      <c r="K16" s="85">
        <v>3.7</v>
      </c>
      <c r="L16" s="20">
        <v>0.05</v>
      </c>
      <c r="M16" s="26">
        <f t="shared" si="0"/>
        <v>79047619.047619045</v>
      </c>
      <c r="N16" s="34">
        <v>0</v>
      </c>
      <c r="O16" s="26">
        <f t="shared" si="2"/>
        <v>79047619.047619045</v>
      </c>
      <c r="P16" s="30">
        <v>0.04</v>
      </c>
      <c r="Q16" s="16">
        <v>0.06</v>
      </c>
      <c r="R16" s="14" t="s">
        <v>303</v>
      </c>
    </row>
    <row r="17" spans="1:18">
      <c r="A17" s="20" t="s">
        <v>5</v>
      </c>
      <c r="B17" s="20" t="s">
        <v>6</v>
      </c>
      <c r="C17" s="20" t="s">
        <v>16</v>
      </c>
      <c r="D17" s="20" t="s">
        <v>35</v>
      </c>
      <c r="E17" s="20"/>
      <c r="F17" s="1">
        <f t="shared" si="1"/>
        <v>16009900</v>
      </c>
      <c r="G17" s="85" t="s">
        <v>467</v>
      </c>
      <c r="H17" s="20" t="s">
        <v>142</v>
      </c>
      <c r="I17" s="20">
        <v>4327</v>
      </c>
      <c r="J17" s="20" t="s">
        <v>80</v>
      </c>
      <c r="K17" s="85">
        <v>3.7</v>
      </c>
      <c r="L17" s="20">
        <v>0.05</v>
      </c>
      <c r="M17" s="26">
        <f t="shared" si="0"/>
        <v>4120952380.9523807</v>
      </c>
      <c r="N17" s="34">
        <v>0</v>
      </c>
      <c r="O17" s="26">
        <f t="shared" si="2"/>
        <v>4120952380.9523807</v>
      </c>
      <c r="P17" s="30">
        <v>0.04</v>
      </c>
      <c r="Q17" s="16">
        <v>0.06</v>
      </c>
      <c r="R17" s="14" t="s">
        <v>303</v>
      </c>
    </row>
  </sheetData>
  <hyperlinks>
    <hyperlink ref="R14" r:id="rId1" xr:uid="{9DA8FB6F-43CD-4CB8-8E58-743469D46437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00A7-4111-43E5-9AF0-5A056D1D91E7}">
  <dimension ref="A1:Z21"/>
  <sheetViews>
    <sheetView zoomScale="85" zoomScaleNormal="85" workbookViewId="0">
      <selection activeCell="E6" sqref="E6"/>
    </sheetView>
  </sheetViews>
  <sheetFormatPr defaultRowHeight="14.4"/>
  <cols>
    <col min="5" max="5" width="10" style="85" bestFit="1" customWidth="1"/>
    <col min="6" max="6" width="9.109375" style="85"/>
    <col min="7" max="7" width="11.109375" bestFit="1" customWidth="1"/>
    <col min="8" max="8" width="18.44140625" bestFit="1" customWidth="1"/>
    <col min="9" max="9" width="12.44140625" bestFit="1" customWidth="1"/>
    <col min="10" max="10" width="12.44140625" style="85" customWidth="1"/>
    <col min="11" max="12" width="12.44140625" style="59" customWidth="1"/>
    <col min="13" max="13" width="12.44140625" style="85" customWidth="1"/>
    <col min="14" max="14" width="12.88671875" bestFit="1" customWidth="1"/>
    <col min="15" max="15" width="13.6640625" style="36" bestFit="1" customWidth="1"/>
    <col min="16" max="16" width="8.88671875" style="36"/>
    <col min="17" max="17" width="8.88671875" style="30"/>
    <col min="18" max="18" width="12" bestFit="1" customWidth="1"/>
    <col min="19" max="19" width="10.33203125" customWidth="1"/>
    <col min="20" max="20" width="8.44140625" style="36" customWidth="1"/>
    <col min="21" max="21" width="12.5546875" bestFit="1" customWidth="1"/>
    <col min="22" max="24" width="11" style="20" customWidth="1"/>
  </cols>
  <sheetData>
    <row r="1" spans="1:26" ht="15" thickBot="1">
      <c r="A1" s="10" t="s">
        <v>3</v>
      </c>
      <c r="B1" s="10" t="s">
        <v>72</v>
      </c>
      <c r="C1" s="10" t="s">
        <v>73</v>
      </c>
      <c r="D1" s="10" t="s">
        <v>70</v>
      </c>
      <c r="E1" s="10" t="s">
        <v>468</v>
      </c>
      <c r="F1" s="10" t="s">
        <v>56</v>
      </c>
      <c r="G1" s="10" t="s">
        <v>111</v>
      </c>
      <c r="H1" s="10" t="s">
        <v>55</v>
      </c>
      <c r="I1" s="10" t="s">
        <v>468</v>
      </c>
      <c r="J1" s="10" t="s">
        <v>56</v>
      </c>
      <c r="K1" s="10" t="s">
        <v>54</v>
      </c>
      <c r="L1" s="10" t="s">
        <v>112</v>
      </c>
      <c r="M1" s="10" t="s">
        <v>466</v>
      </c>
      <c r="N1" s="25" t="s">
        <v>304</v>
      </c>
      <c r="O1" s="25" t="s">
        <v>305</v>
      </c>
      <c r="P1" s="25" t="s">
        <v>306</v>
      </c>
      <c r="Q1" s="25" t="s">
        <v>442</v>
      </c>
      <c r="R1" s="25" t="s">
        <v>444</v>
      </c>
      <c r="S1" s="93" t="s">
        <v>288</v>
      </c>
      <c r="T1" s="93"/>
      <c r="U1" s="10" t="s">
        <v>63</v>
      </c>
      <c r="V1" s="10" t="s">
        <v>308</v>
      </c>
      <c r="W1" s="10" t="s">
        <v>309</v>
      </c>
      <c r="X1" s="10" t="s">
        <v>158</v>
      </c>
      <c r="Y1" s="93" t="s">
        <v>288</v>
      </c>
      <c r="Z1" s="93"/>
    </row>
    <row r="2" spans="1:26" ht="14.4" customHeight="1">
      <c r="A2" s="68" t="s">
        <v>344</v>
      </c>
      <c r="B2">
        <v>2019</v>
      </c>
      <c r="C2" t="s">
        <v>71</v>
      </c>
      <c r="D2">
        <v>4415202</v>
      </c>
      <c r="E2" s="85">
        <f t="shared" ref="E2:E7" si="0">R2/M2</f>
        <v>2286510.4972443571</v>
      </c>
      <c r="F2" s="85" t="s">
        <v>467</v>
      </c>
      <c r="G2">
        <v>56887183</v>
      </c>
      <c r="H2" t="s">
        <v>62</v>
      </c>
      <c r="I2">
        <f t="shared" ref="I2:I7" si="1">R2/M2</f>
        <v>2286510.4972443571</v>
      </c>
      <c r="J2" s="85" t="s">
        <v>467</v>
      </c>
      <c r="M2" s="85">
        <v>467</v>
      </c>
      <c r="N2">
        <v>0.22</v>
      </c>
      <c r="O2" s="36">
        <v>0.35</v>
      </c>
      <c r="P2" s="36">
        <f>(N2+O2)/2</f>
        <v>0.28499999999999998</v>
      </c>
      <c r="Q2" s="30">
        <v>0</v>
      </c>
      <c r="R2">
        <f>G2*U2</f>
        <v>1067800402.2131147</v>
      </c>
      <c r="S2" s="14" t="s">
        <v>286</v>
      </c>
      <c r="T2" s="14" t="s">
        <v>307</v>
      </c>
      <c r="U2" s="17">
        <f>(V2+W2)/2</f>
        <v>18.770491803278688</v>
      </c>
      <c r="V2" s="17">
        <f>(20/1/(1+N2))+20*Q2</f>
        <v>16.393442622950818</v>
      </c>
      <c r="W2" s="1">
        <f>25.8/1/(1+N2)+25.8*Q2</f>
        <v>21.147540983606557</v>
      </c>
      <c r="X2" s="17">
        <f>(W2+V2)/2</f>
        <v>18.770491803278688</v>
      </c>
      <c r="Y2" s="36" t="s">
        <v>310</v>
      </c>
      <c r="Z2" s="36" t="s">
        <v>311</v>
      </c>
    </row>
    <row r="3" spans="1:26" ht="14.4" customHeight="1">
      <c r="A3" s="68" t="s">
        <v>345</v>
      </c>
      <c r="B3">
        <v>2019</v>
      </c>
      <c r="C3" t="s">
        <v>71</v>
      </c>
      <c r="D3">
        <v>4415209</v>
      </c>
      <c r="E3" s="85">
        <f t="shared" si="0"/>
        <v>87558.837715449146</v>
      </c>
      <c r="F3" s="85" t="s">
        <v>467</v>
      </c>
      <c r="G3">
        <v>2178418</v>
      </c>
      <c r="H3" t="s">
        <v>62</v>
      </c>
      <c r="I3" s="85">
        <f t="shared" si="1"/>
        <v>87558.837715449146</v>
      </c>
      <c r="J3" s="85" t="s">
        <v>467</v>
      </c>
      <c r="M3" s="85">
        <v>467</v>
      </c>
      <c r="N3" s="30">
        <v>0.22</v>
      </c>
      <c r="O3" s="36">
        <v>0.35</v>
      </c>
      <c r="P3" s="36">
        <f t="shared" ref="P3:P17" si="2">(N3+O3)/2</f>
        <v>0.28499999999999998</v>
      </c>
      <c r="Q3" s="68">
        <v>0</v>
      </c>
      <c r="R3" s="1">
        <f>G3*U3</f>
        <v>40889977.213114753</v>
      </c>
      <c r="S3" s="14" t="s">
        <v>286</v>
      </c>
      <c r="T3" s="14" t="s">
        <v>307</v>
      </c>
      <c r="U3" s="17">
        <f>(V3+W3)/2</f>
        <v>18.770491803278688</v>
      </c>
      <c r="V3" s="17">
        <f>(20/1/(1+N3))+20*Q3</f>
        <v>16.393442622950818</v>
      </c>
      <c r="W3" s="1">
        <f>25.8/1/(1+N3)+25.8*Q3</f>
        <v>21.147540983606557</v>
      </c>
      <c r="X3" s="17">
        <f>(W3+V3)/2</f>
        <v>18.770491803278688</v>
      </c>
      <c r="Y3" s="36" t="s">
        <v>310</v>
      </c>
      <c r="Z3" s="36" t="s">
        <v>311</v>
      </c>
    </row>
    <row r="4" spans="1:26" ht="14.4" customHeight="1">
      <c r="A4" s="68" t="s">
        <v>113</v>
      </c>
      <c r="B4">
        <v>2016</v>
      </c>
      <c r="C4" t="s">
        <v>71</v>
      </c>
      <c r="D4">
        <v>4416</v>
      </c>
      <c r="E4" s="85">
        <f t="shared" si="0"/>
        <v>11672.94345062032</v>
      </c>
      <c r="F4" s="85" t="s">
        <v>467</v>
      </c>
      <c r="G4">
        <v>7004875</v>
      </c>
      <c r="H4" t="s">
        <v>109</v>
      </c>
      <c r="I4" s="85">
        <f t="shared" si="1"/>
        <v>11672.94345062032</v>
      </c>
      <c r="J4" s="85" t="s">
        <v>467</v>
      </c>
      <c r="K4" s="1"/>
      <c r="L4" s="1"/>
      <c r="M4" s="85">
        <v>467</v>
      </c>
      <c r="N4" s="30">
        <v>0.22</v>
      </c>
      <c r="O4" s="36">
        <v>0.35</v>
      </c>
      <c r="P4" s="36">
        <f t="shared" si="2"/>
        <v>0.28499999999999998</v>
      </c>
      <c r="Q4" s="68">
        <v>0</v>
      </c>
      <c r="R4" s="1">
        <f>G4/(1/1+P4)+G4*Q4</f>
        <v>5451264.5914396895</v>
      </c>
      <c r="S4" s="14" t="s">
        <v>286</v>
      </c>
      <c r="T4" s="14" t="s">
        <v>307</v>
      </c>
      <c r="U4" t="s">
        <v>60</v>
      </c>
      <c r="V4" s="53" t="s">
        <v>60</v>
      </c>
      <c r="W4" s="53" t="s">
        <v>60</v>
      </c>
      <c r="X4" s="53" t="s">
        <v>60</v>
      </c>
      <c r="Y4" s="53" t="s">
        <v>60</v>
      </c>
      <c r="Z4" s="53" t="s">
        <v>60</v>
      </c>
    </row>
    <row r="5" spans="1:26" ht="14.4" customHeight="1">
      <c r="A5" s="68" t="s">
        <v>374</v>
      </c>
      <c r="B5">
        <v>2019</v>
      </c>
      <c r="C5" t="s">
        <v>71</v>
      </c>
      <c r="D5">
        <v>4415101</v>
      </c>
      <c r="E5" s="85">
        <f t="shared" si="0"/>
        <v>105407.59713045436</v>
      </c>
      <c r="F5" s="85" t="s">
        <v>467</v>
      </c>
      <c r="G5">
        <v>63254572</v>
      </c>
      <c r="H5" t="s">
        <v>109</v>
      </c>
      <c r="I5" s="85">
        <f t="shared" si="1"/>
        <v>105407.59713045436</v>
      </c>
      <c r="J5" s="85" t="s">
        <v>467</v>
      </c>
      <c r="K5" s="1"/>
      <c r="L5" s="1"/>
      <c r="M5" s="85">
        <v>467</v>
      </c>
      <c r="N5" s="30">
        <v>0.22</v>
      </c>
      <c r="O5" s="36">
        <v>0.35</v>
      </c>
      <c r="P5" s="36">
        <f t="shared" si="2"/>
        <v>0.28499999999999998</v>
      </c>
      <c r="Q5" s="68">
        <v>0</v>
      </c>
      <c r="R5" s="1">
        <f>G5/(1/1+P5)+G5*Q5</f>
        <v>49225347.859922186</v>
      </c>
      <c r="S5" s="14" t="s">
        <v>286</v>
      </c>
      <c r="T5" s="14" t="s">
        <v>307</v>
      </c>
      <c r="U5" s="53" t="s">
        <v>60</v>
      </c>
      <c r="V5" s="53" t="s">
        <v>60</v>
      </c>
      <c r="W5" s="53" t="s">
        <v>60</v>
      </c>
      <c r="X5" s="53" t="s">
        <v>60</v>
      </c>
      <c r="Y5" s="53" t="s">
        <v>60</v>
      </c>
      <c r="Z5" s="53" t="s">
        <v>60</v>
      </c>
    </row>
    <row r="6" spans="1:26" ht="14.4" customHeight="1">
      <c r="A6" s="68" t="s">
        <v>346</v>
      </c>
      <c r="B6">
        <v>2019</v>
      </c>
      <c r="C6" t="s">
        <v>71</v>
      </c>
      <c r="D6">
        <v>4415109</v>
      </c>
      <c r="E6" s="85">
        <f t="shared" si="0"/>
        <v>4767.6767845091199</v>
      </c>
      <c r="F6" s="85" t="s">
        <v>467</v>
      </c>
      <c r="G6">
        <v>2861059</v>
      </c>
      <c r="H6" t="s">
        <v>109</v>
      </c>
      <c r="I6" s="85">
        <f t="shared" si="1"/>
        <v>4767.6767845091199</v>
      </c>
      <c r="J6" s="85" t="s">
        <v>467</v>
      </c>
      <c r="K6" s="1"/>
      <c r="L6" s="1"/>
      <c r="M6" s="85">
        <v>467</v>
      </c>
      <c r="N6" s="30">
        <v>0.22</v>
      </c>
      <c r="O6" s="36">
        <v>0.35</v>
      </c>
      <c r="P6" s="36">
        <f t="shared" si="2"/>
        <v>0.28499999999999998</v>
      </c>
      <c r="Q6" s="68">
        <v>0</v>
      </c>
      <c r="R6" s="1">
        <f>G6/(1/1+P6)+G6*Q6</f>
        <v>2226505.058365759</v>
      </c>
      <c r="S6" s="14" t="s">
        <v>286</v>
      </c>
      <c r="T6" s="14" t="s">
        <v>307</v>
      </c>
      <c r="U6" s="53" t="s">
        <v>60</v>
      </c>
      <c r="V6" s="53" t="s">
        <v>60</v>
      </c>
      <c r="W6" s="53" t="s">
        <v>60</v>
      </c>
      <c r="X6" s="53" t="s">
        <v>60</v>
      </c>
      <c r="Y6" s="53" t="s">
        <v>60</v>
      </c>
      <c r="Z6" s="53" t="s">
        <v>60</v>
      </c>
    </row>
    <row r="7" spans="1:26" ht="14.4" customHeight="1">
      <c r="A7" s="68" t="s">
        <v>355</v>
      </c>
      <c r="B7">
        <v>2019</v>
      </c>
      <c r="C7" t="s">
        <v>71</v>
      </c>
      <c r="D7" t="s">
        <v>60</v>
      </c>
      <c r="E7" s="85">
        <f t="shared" si="0"/>
        <v>1962909.0805512164</v>
      </c>
      <c r="F7" s="85" t="s">
        <v>467</v>
      </c>
      <c r="G7">
        <v>72919479</v>
      </c>
      <c r="H7" t="s">
        <v>62</v>
      </c>
      <c r="I7" s="85">
        <f t="shared" si="1"/>
        <v>1962909.0805512164</v>
      </c>
      <c r="J7" s="85" t="s">
        <v>467</v>
      </c>
      <c r="K7" s="1"/>
      <c r="L7" s="1"/>
      <c r="M7" s="85">
        <v>467</v>
      </c>
      <c r="N7" s="30">
        <v>0.22</v>
      </c>
      <c r="O7" s="36">
        <v>0.35</v>
      </c>
      <c r="P7" s="36">
        <f t="shared" si="2"/>
        <v>0.28499999999999998</v>
      </c>
      <c r="Q7" s="68">
        <v>0</v>
      </c>
      <c r="R7" s="1">
        <f>G7*((V7+U7)/2)-(G7*((V7+U7)/2))*P7</f>
        <v>916678540.61741805</v>
      </c>
      <c r="S7" s="14"/>
      <c r="T7" s="14"/>
      <c r="U7" s="17">
        <f>(V7+W7)/2</f>
        <v>18.770491803278688</v>
      </c>
      <c r="V7" s="17">
        <f>(20/1/(1+N7))+20*Q7</f>
        <v>16.393442622950818</v>
      </c>
      <c r="W7" s="1">
        <f>25.8/1/(1+N7)+25.8*Q7</f>
        <v>21.147540983606557</v>
      </c>
      <c r="X7" s="53" t="s">
        <v>60</v>
      </c>
      <c r="Y7" s="53" t="s">
        <v>60</v>
      </c>
      <c r="Z7" s="53" t="s">
        <v>60</v>
      </c>
    </row>
    <row r="8" spans="1:26">
      <c r="I8" s="85"/>
      <c r="K8" s="1"/>
      <c r="L8" s="1"/>
      <c r="N8" s="30"/>
      <c r="R8" s="1"/>
      <c r="S8" s="14"/>
      <c r="T8" s="14"/>
    </row>
    <row r="9" spans="1:26">
      <c r="I9" s="85"/>
      <c r="K9" s="1"/>
      <c r="L9" s="1"/>
      <c r="N9" s="30"/>
      <c r="R9" s="1"/>
      <c r="S9" s="14"/>
      <c r="T9" s="14"/>
    </row>
    <row r="10" spans="1:26">
      <c r="A10" t="s">
        <v>375</v>
      </c>
      <c r="B10">
        <v>2019</v>
      </c>
      <c r="C10" t="s">
        <v>7</v>
      </c>
      <c r="D10">
        <v>4415</v>
      </c>
      <c r="E10" s="85">
        <f t="shared" ref="E10:E17" si="3">R10/M10</f>
        <v>0</v>
      </c>
      <c r="F10" s="85" t="s">
        <v>467</v>
      </c>
      <c r="G10">
        <v>0</v>
      </c>
      <c r="I10" s="85">
        <f t="shared" ref="I10:I17" si="4">R10/M10</f>
        <v>0</v>
      </c>
      <c r="J10" s="85" t="s">
        <v>467</v>
      </c>
      <c r="K10" s="1"/>
      <c r="L10" s="1"/>
      <c r="M10" s="85">
        <v>467</v>
      </c>
      <c r="N10" s="30">
        <v>0.22</v>
      </c>
      <c r="O10" s="36">
        <v>0.35</v>
      </c>
      <c r="P10" s="36">
        <f t="shared" si="2"/>
        <v>0.28499999999999998</v>
      </c>
      <c r="Q10" s="30">
        <v>0</v>
      </c>
      <c r="R10" s="1">
        <f t="shared" ref="R10:R17" si="5">G10/(1/1+P10)+G10*Q10</f>
        <v>0</v>
      </c>
      <c r="S10" s="14"/>
      <c r="T10" s="14"/>
    </row>
    <row r="11" spans="1:26">
      <c r="A11" t="s">
        <v>375</v>
      </c>
      <c r="B11">
        <v>2019</v>
      </c>
      <c r="C11" t="s">
        <v>16</v>
      </c>
      <c r="D11">
        <v>4415</v>
      </c>
      <c r="E11" s="85">
        <f t="shared" si="3"/>
        <v>0</v>
      </c>
      <c r="F11" s="85" t="s">
        <v>467</v>
      </c>
      <c r="G11">
        <v>0</v>
      </c>
      <c r="I11" s="85">
        <f t="shared" si="4"/>
        <v>0</v>
      </c>
      <c r="J11" s="85" t="s">
        <v>467</v>
      </c>
      <c r="K11" s="1"/>
      <c r="L11" s="1"/>
      <c r="M11" s="85">
        <v>467</v>
      </c>
      <c r="N11" s="30">
        <v>0.22</v>
      </c>
      <c r="O11" s="36">
        <v>0.35</v>
      </c>
      <c r="P11" s="36">
        <f t="shared" si="2"/>
        <v>0.28499999999999998</v>
      </c>
      <c r="Q11" s="68">
        <v>0</v>
      </c>
      <c r="R11" s="1">
        <f t="shared" si="5"/>
        <v>0</v>
      </c>
      <c r="S11" s="14" t="s">
        <v>286</v>
      </c>
      <c r="T11" s="14" t="s">
        <v>307</v>
      </c>
    </row>
    <row r="12" spans="1:26">
      <c r="A12" t="s">
        <v>376</v>
      </c>
      <c r="B12">
        <v>2019</v>
      </c>
      <c r="C12" t="s">
        <v>7</v>
      </c>
      <c r="D12">
        <v>441510</v>
      </c>
      <c r="E12" s="85">
        <f t="shared" si="3"/>
        <v>10234.907806264009</v>
      </c>
      <c r="F12" s="85" t="s">
        <v>467</v>
      </c>
      <c r="G12">
        <v>6141917</v>
      </c>
      <c r="H12" t="s">
        <v>109</v>
      </c>
      <c r="I12" s="85">
        <f t="shared" si="4"/>
        <v>10234.907806264009</v>
      </c>
      <c r="J12" s="85" t="s">
        <v>467</v>
      </c>
      <c r="K12" s="1"/>
      <c r="L12" s="1"/>
      <c r="M12" s="85">
        <v>467</v>
      </c>
      <c r="N12" s="30">
        <v>0.22</v>
      </c>
      <c r="O12" s="36">
        <v>0.35</v>
      </c>
      <c r="P12" s="36">
        <f t="shared" si="2"/>
        <v>0.28499999999999998</v>
      </c>
      <c r="Q12" s="68">
        <v>0</v>
      </c>
      <c r="R12" s="1">
        <f t="shared" si="5"/>
        <v>4779701.9455252923</v>
      </c>
      <c r="S12" s="14" t="s">
        <v>286</v>
      </c>
      <c r="T12" s="14" t="s">
        <v>307</v>
      </c>
    </row>
    <row r="13" spans="1:26">
      <c r="A13" t="s">
        <v>376</v>
      </c>
      <c r="B13">
        <v>2016</v>
      </c>
      <c r="C13" t="s">
        <v>16</v>
      </c>
      <c r="D13">
        <v>441510</v>
      </c>
      <c r="E13" s="85">
        <f t="shared" si="3"/>
        <v>17660.690390688142</v>
      </c>
      <c r="F13" s="85" t="s">
        <v>467</v>
      </c>
      <c r="G13">
        <v>10598092</v>
      </c>
      <c r="H13" t="s">
        <v>109</v>
      </c>
      <c r="I13" s="85">
        <f t="shared" si="4"/>
        <v>17660.690390688142</v>
      </c>
      <c r="J13" s="85" t="s">
        <v>467</v>
      </c>
      <c r="K13" s="1"/>
      <c r="L13" s="1"/>
      <c r="M13" s="85">
        <v>467</v>
      </c>
      <c r="N13" s="30">
        <v>0.22</v>
      </c>
      <c r="O13" s="36">
        <v>0.35</v>
      </c>
      <c r="P13" s="36">
        <f t="shared" si="2"/>
        <v>0.28499999999999998</v>
      </c>
      <c r="Q13" s="68">
        <v>0</v>
      </c>
      <c r="R13" s="1">
        <f t="shared" si="5"/>
        <v>8247542.4124513622</v>
      </c>
      <c r="S13" s="14" t="s">
        <v>286</v>
      </c>
      <c r="T13" s="14" t="s">
        <v>307</v>
      </c>
    </row>
    <row r="14" spans="1:26">
      <c r="A14" t="s">
        <v>92</v>
      </c>
      <c r="B14">
        <v>2016</v>
      </c>
      <c r="C14" t="s">
        <v>7</v>
      </c>
      <c r="D14">
        <v>441520</v>
      </c>
      <c r="E14" s="85">
        <f t="shared" si="3"/>
        <v>140046.48264024864</v>
      </c>
      <c r="F14" s="85" t="s">
        <v>467</v>
      </c>
      <c r="G14">
        <v>84041194</v>
      </c>
      <c r="H14" t="s">
        <v>109</v>
      </c>
      <c r="I14" s="85">
        <f t="shared" si="4"/>
        <v>140046.48264024864</v>
      </c>
      <c r="J14" s="85" t="s">
        <v>467</v>
      </c>
      <c r="K14" s="1">
        <v>11451113</v>
      </c>
      <c r="L14" s="59" t="s">
        <v>62</v>
      </c>
      <c r="M14" s="85">
        <v>467</v>
      </c>
      <c r="N14" s="30">
        <v>0.22</v>
      </c>
      <c r="O14" s="36">
        <v>0.35</v>
      </c>
      <c r="P14" s="36">
        <f t="shared" si="2"/>
        <v>0.28499999999999998</v>
      </c>
      <c r="Q14" s="68">
        <v>0</v>
      </c>
      <c r="R14" s="1">
        <f t="shared" si="5"/>
        <v>65401707.39299611</v>
      </c>
      <c r="S14" s="14" t="s">
        <v>286</v>
      </c>
      <c r="T14" s="14" t="s">
        <v>307</v>
      </c>
    </row>
    <row r="15" spans="1:26">
      <c r="A15" t="s">
        <v>92</v>
      </c>
      <c r="B15">
        <v>2016</v>
      </c>
      <c r="C15" t="s">
        <v>16</v>
      </c>
      <c r="D15">
        <v>441520</v>
      </c>
      <c r="E15" s="85">
        <f t="shared" si="3"/>
        <v>136561.85937226607</v>
      </c>
      <c r="F15" s="85" t="s">
        <v>467</v>
      </c>
      <c r="G15">
        <v>81950089</v>
      </c>
      <c r="H15" t="s">
        <v>109</v>
      </c>
      <c r="I15" s="85">
        <f t="shared" si="4"/>
        <v>136561.85937226607</v>
      </c>
      <c r="J15" s="85" t="s">
        <v>467</v>
      </c>
      <c r="K15" s="1">
        <v>8517848</v>
      </c>
      <c r="L15" s="59" t="s">
        <v>62</v>
      </c>
      <c r="M15" s="85">
        <v>467</v>
      </c>
      <c r="N15" s="30">
        <v>0.22</v>
      </c>
      <c r="O15" s="36">
        <v>0.35</v>
      </c>
      <c r="P15" s="36">
        <f t="shared" si="2"/>
        <v>0.28499999999999998</v>
      </c>
      <c r="Q15" s="68">
        <v>0</v>
      </c>
      <c r="R15" s="1">
        <f t="shared" si="5"/>
        <v>63774388.326848254</v>
      </c>
      <c r="S15" s="14" t="s">
        <v>286</v>
      </c>
      <c r="T15" s="14" t="s">
        <v>307</v>
      </c>
    </row>
    <row r="16" spans="1:26">
      <c r="A16" t="s">
        <v>113</v>
      </c>
      <c r="B16">
        <v>2019</v>
      </c>
      <c r="C16" t="s">
        <v>7</v>
      </c>
      <c r="D16">
        <v>4416</v>
      </c>
      <c r="E16" s="85">
        <f t="shared" si="3"/>
        <v>103370.09640140312</v>
      </c>
      <c r="F16" s="85" t="s">
        <v>467</v>
      </c>
      <c r="G16" s="34">
        <v>62031878</v>
      </c>
      <c r="H16" t="s">
        <v>109</v>
      </c>
      <c r="I16" s="85">
        <f t="shared" si="4"/>
        <v>103370.09640140312</v>
      </c>
      <c r="J16" s="85" t="s">
        <v>467</v>
      </c>
      <c r="K16" s="1"/>
      <c r="L16" s="1"/>
      <c r="M16" s="85">
        <v>467</v>
      </c>
      <c r="N16" s="30">
        <v>0.22</v>
      </c>
      <c r="O16" s="36">
        <v>0.35</v>
      </c>
      <c r="P16" s="36">
        <f t="shared" si="2"/>
        <v>0.28499999999999998</v>
      </c>
      <c r="Q16" s="68">
        <v>0</v>
      </c>
      <c r="R16" s="1">
        <f t="shared" si="5"/>
        <v>48273835.019455254</v>
      </c>
      <c r="S16" s="14" t="s">
        <v>286</v>
      </c>
      <c r="T16" s="14" t="s">
        <v>307</v>
      </c>
      <c r="V16" s="3"/>
      <c r="W16" s="3"/>
      <c r="X16" s="3"/>
    </row>
    <row r="17" spans="1:24">
      <c r="A17" t="s">
        <v>113</v>
      </c>
      <c r="B17">
        <v>2019</v>
      </c>
      <c r="C17" t="s">
        <v>114</v>
      </c>
      <c r="D17">
        <v>4416</v>
      </c>
      <c r="E17" s="85">
        <f t="shared" si="3"/>
        <v>10261.265299660887</v>
      </c>
      <c r="F17" s="85" t="s">
        <v>467</v>
      </c>
      <c r="G17" s="34">
        <v>6157734</v>
      </c>
      <c r="H17" t="s">
        <v>109</v>
      </c>
      <c r="I17" s="85">
        <f t="shared" si="4"/>
        <v>10261.265299660887</v>
      </c>
      <c r="J17" s="85" t="s">
        <v>467</v>
      </c>
      <c r="K17" s="1"/>
      <c r="L17" s="1"/>
      <c r="M17" s="85">
        <v>467</v>
      </c>
      <c r="N17" s="30">
        <v>0.22</v>
      </c>
      <c r="O17" s="36">
        <v>0.35</v>
      </c>
      <c r="P17" s="36">
        <f t="shared" si="2"/>
        <v>0.28499999999999998</v>
      </c>
      <c r="Q17" s="68">
        <v>0</v>
      </c>
      <c r="R17" s="1">
        <f t="shared" si="5"/>
        <v>4792010.8949416345</v>
      </c>
      <c r="S17" s="14" t="s">
        <v>286</v>
      </c>
      <c r="T17" s="14" t="s">
        <v>307</v>
      </c>
      <c r="V17" s="3"/>
      <c r="W17" s="3"/>
      <c r="X17" s="3"/>
    </row>
    <row r="19" spans="1:24">
      <c r="A19" s="8"/>
    </row>
    <row r="20" spans="1:24">
      <c r="A20" s="57"/>
    </row>
    <row r="21" spans="1:24">
      <c r="A21" s="14"/>
    </row>
  </sheetData>
  <mergeCells count="2">
    <mergeCell ref="S1:T1"/>
    <mergeCell ref="Y1:Z1"/>
  </mergeCells>
  <hyperlinks>
    <hyperlink ref="S2" r:id="rId1" display="https://www.timcon.org/timberdryingstudy/Downloads/Dry Pallet - Process Standard for Timber Pallets - Best Practice Guide.pdf" xr:uid="{1DD95D31-49E2-4AAB-99B2-9562AD9FF567}"/>
    <hyperlink ref="S3:S17" r:id="rId2" display="https://www.timcon.org/timberdryingstudy/Downloads/Dry Pallet - Process Standard for Timber Pallets - Best Practice Guide.pdf" xr:uid="{0B1C21D3-845F-426A-81D0-EDBD792B77BC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1AB2-0883-4FA1-A7A7-278164DAB97F}">
  <dimension ref="A1:R34"/>
  <sheetViews>
    <sheetView zoomScale="70" zoomScaleNormal="70" workbookViewId="0">
      <selection activeCell="G2" sqref="G2"/>
    </sheetView>
  </sheetViews>
  <sheetFormatPr defaultRowHeight="14.4"/>
  <cols>
    <col min="1" max="1" width="80" customWidth="1"/>
    <col min="4" max="4" width="10.33203125" bestFit="1" customWidth="1"/>
    <col min="5" max="6" width="10.33203125" style="85" customWidth="1"/>
    <col min="7" max="7" width="18.44140625" bestFit="1" customWidth="1"/>
    <col min="8" max="8" width="18.44140625" customWidth="1"/>
    <col min="9" max="9" width="13.5546875" style="53" customWidth="1"/>
    <col min="10" max="10" width="11.6640625" style="53" customWidth="1"/>
    <col min="11" max="11" width="11.6640625" style="85" customWidth="1"/>
    <col min="12" max="12" width="14.6640625" bestFit="1" customWidth="1"/>
    <col min="13" max="13" width="14.33203125" style="30" bestFit="1" customWidth="1"/>
    <col min="14" max="14" width="14.88671875" bestFit="1" customWidth="1"/>
    <col min="15" max="15" width="13.6640625" style="30" customWidth="1"/>
  </cols>
  <sheetData>
    <row r="1" spans="1:18" ht="15" thickBot="1">
      <c r="A1" s="10" t="s">
        <v>3</v>
      </c>
      <c r="B1" s="10" t="s">
        <v>72</v>
      </c>
      <c r="C1" s="10" t="s">
        <v>73</v>
      </c>
      <c r="D1" s="10" t="s">
        <v>70</v>
      </c>
      <c r="E1" s="10" t="s">
        <v>137</v>
      </c>
      <c r="F1" s="10" t="s">
        <v>357</v>
      </c>
      <c r="G1" s="10" t="s">
        <v>54</v>
      </c>
      <c r="H1" s="10" t="s">
        <v>112</v>
      </c>
      <c r="I1" s="10" t="s">
        <v>54</v>
      </c>
      <c r="J1" s="10" t="s">
        <v>112</v>
      </c>
      <c r="K1" s="10" t="s">
        <v>466</v>
      </c>
      <c r="L1" s="10" t="s">
        <v>364</v>
      </c>
      <c r="M1" s="10" t="s">
        <v>365</v>
      </c>
      <c r="N1" s="10" t="s">
        <v>366</v>
      </c>
      <c r="O1" s="10" t="s">
        <v>367</v>
      </c>
    </row>
    <row r="2" spans="1:18" ht="14.4" customHeight="1">
      <c r="A2" s="68" t="s">
        <v>445</v>
      </c>
      <c r="B2">
        <v>2019</v>
      </c>
      <c r="C2" t="s">
        <v>71</v>
      </c>
      <c r="D2">
        <v>940330</v>
      </c>
      <c r="E2" s="85">
        <f>(N2+O2/2)/K2</f>
        <v>397581.26338329766</v>
      </c>
      <c r="F2" s="85" t="s">
        <v>467</v>
      </c>
      <c r="G2">
        <v>5304870</v>
      </c>
      <c r="H2" t="s">
        <v>62</v>
      </c>
      <c r="I2" s="53" t="s">
        <v>60</v>
      </c>
      <c r="J2" s="53" t="s">
        <v>60</v>
      </c>
      <c r="K2" s="85">
        <v>467</v>
      </c>
      <c r="L2" s="20">
        <v>25</v>
      </c>
      <c r="M2" s="30">
        <v>20</v>
      </c>
      <c r="N2">
        <f t="shared" ref="N2:N8" si="0">G2*L2</f>
        <v>132621750</v>
      </c>
      <c r="O2" s="30">
        <f t="shared" ref="O2:O8" si="1">G2*M2</f>
        <v>106097400</v>
      </c>
    </row>
    <row r="3" spans="1:18">
      <c r="A3" s="68" t="s">
        <v>446</v>
      </c>
      <c r="B3">
        <v>2019</v>
      </c>
      <c r="C3" t="s">
        <v>71</v>
      </c>
      <c r="D3" s="68">
        <v>94036030</v>
      </c>
      <c r="E3" s="85">
        <f t="shared" ref="E3:E8" si="2">(N3+O3/2)/K3</f>
        <v>31009.95289079229</v>
      </c>
      <c r="F3" s="85" t="s">
        <v>467</v>
      </c>
      <c r="G3">
        <v>762192</v>
      </c>
      <c r="H3" t="s">
        <v>62</v>
      </c>
      <c r="I3" s="53" t="s">
        <v>60</v>
      </c>
      <c r="J3" s="53" t="s">
        <v>60</v>
      </c>
      <c r="K3" s="85">
        <v>467</v>
      </c>
      <c r="L3">
        <v>15</v>
      </c>
      <c r="M3" s="30">
        <v>8</v>
      </c>
      <c r="N3">
        <f t="shared" si="0"/>
        <v>11432880</v>
      </c>
      <c r="O3" s="30">
        <f t="shared" si="1"/>
        <v>6097536</v>
      </c>
      <c r="P3" s="59"/>
      <c r="Q3" s="59"/>
      <c r="R3" s="59"/>
    </row>
    <row r="4" spans="1:18">
      <c r="A4" s="68" t="s">
        <v>447</v>
      </c>
      <c r="B4">
        <v>2019</v>
      </c>
      <c r="C4" t="s">
        <v>71</v>
      </c>
      <c r="D4" s="68">
        <v>940169</v>
      </c>
      <c r="E4" s="85">
        <f t="shared" si="2"/>
        <v>7198.1113490364023</v>
      </c>
      <c r="F4" s="85" t="s">
        <v>467</v>
      </c>
      <c r="G4">
        <v>176922</v>
      </c>
      <c r="H4" t="s">
        <v>62</v>
      </c>
      <c r="I4" s="53" t="s">
        <v>60</v>
      </c>
      <c r="J4" s="53" t="s">
        <v>60</v>
      </c>
      <c r="K4" s="85">
        <v>467</v>
      </c>
      <c r="L4" s="53">
        <v>15</v>
      </c>
      <c r="M4" s="30">
        <v>8</v>
      </c>
      <c r="N4">
        <f t="shared" si="0"/>
        <v>2653830</v>
      </c>
      <c r="O4" s="30">
        <f t="shared" si="1"/>
        <v>1415376</v>
      </c>
      <c r="P4" s="59"/>
      <c r="Q4" s="59"/>
      <c r="R4" s="59"/>
    </row>
    <row r="5" spans="1:18">
      <c r="A5" s="68" t="s">
        <v>448</v>
      </c>
      <c r="B5">
        <v>2019</v>
      </c>
      <c r="C5" t="s">
        <v>71</v>
      </c>
      <c r="D5" s="68">
        <v>94034</v>
      </c>
      <c r="E5" s="85">
        <f t="shared" si="2"/>
        <v>3270810.2997858673</v>
      </c>
      <c r="F5" s="85" t="s">
        <v>467</v>
      </c>
      <c r="G5">
        <v>46999028</v>
      </c>
      <c r="H5" t="s">
        <v>62</v>
      </c>
      <c r="I5" s="53" t="s">
        <v>60</v>
      </c>
      <c r="J5" s="53" t="s">
        <v>60</v>
      </c>
      <c r="K5" s="85">
        <v>467</v>
      </c>
      <c r="L5" s="20">
        <v>25</v>
      </c>
      <c r="M5" s="30">
        <v>15</v>
      </c>
      <c r="N5">
        <f t="shared" si="0"/>
        <v>1174975700</v>
      </c>
      <c r="O5" s="30">
        <f t="shared" si="1"/>
        <v>704985420</v>
      </c>
      <c r="P5" s="59"/>
      <c r="Q5" s="59"/>
      <c r="R5" s="59"/>
    </row>
    <row r="6" spans="1:18">
      <c r="A6" s="68" t="s">
        <v>449</v>
      </c>
      <c r="B6">
        <v>2019</v>
      </c>
      <c r="C6" t="s">
        <v>71</v>
      </c>
      <c r="D6" s="68">
        <v>940350</v>
      </c>
      <c r="E6" s="85">
        <f t="shared" si="2"/>
        <v>525573.56531049253</v>
      </c>
      <c r="F6" s="85" t="s">
        <v>467</v>
      </c>
      <c r="G6">
        <v>5775126</v>
      </c>
      <c r="H6" t="s">
        <v>62</v>
      </c>
      <c r="I6" s="53" t="s">
        <v>60</v>
      </c>
      <c r="J6" s="53" t="s">
        <v>60</v>
      </c>
      <c r="K6" s="85">
        <v>467</v>
      </c>
      <c r="L6" s="30">
        <v>35</v>
      </c>
      <c r="M6" s="30">
        <v>15</v>
      </c>
      <c r="N6">
        <f t="shared" si="0"/>
        <v>202129410</v>
      </c>
      <c r="O6" s="30">
        <f t="shared" si="1"/>
        <v>86626890</v>
      </c>
      <c r="P6" s="59"/>
      <c r="Q6" s="59"/>
      <c r="R6" s="59"/>
    </row>
    <row r="7" spans="1:18">
      <c r="A7" s="68" t="s">
        <v>450</v>
      </c>
      <c r="B7">
        <v>2019</v>
      </c>
      <c r="C7" t="s">
        <v>71</v>
      </c>
      <c r="D7" s="68">
        <v>94036010</v>
      </c>
      <c r="E7" s="85">
        <f t="shared" si="2"/>
        <v>58759.047109207706</v>
      </c>
      <c r="F7" s="85" t="s">
        <v>467</v>
      </c>
      <c r="G7">
        <v>731746</v>
      </c>
      <c r="H7" t="s">
        <v>62</v>
      </c>
      <c r="I7" s="53" t="s">
        <v>60</v>
      </c>
      <c r="J7" s="53" t="s">
        <v>60</v>
      </c>
      <c r="K7" s="85">
        <v>467</v>
      </c>
      <c r="L7" s="30">
        <v>30</v>
      </c>
      <c r="M7" s="30">
        <v>15</v>
      </c>
      <c r="N7">
        <f t="shared" si="0"/>
        <v>21952380</v>
      </c>
      <c r="O7" s="30">
        <f t="shared" si="1"/>
        <v>10976190</v>
      </c>
      <c r="P7" s="59"/>
      <c r="Q7" s="59"/>
      <c r="R7" s="59"/>
    </row>
    <row r="8" spans="1:18">
      <c r="A8" s="68" t="s">
        <v>451</v>
      </c>
      <c r="B8">
        <v>2019</v>
      </c>
      <c r="C8" t="s">
        <v>71</v>
      </c>
      <c r="D8" s="68">
        <v>94036090</v>
      </c>
      <c r="E8" s="85">
        <f t="shared" si="2"/>
        <v>232904.74304068522</v>
      </c>
      <c r="F8" s="85" t="s">
        <v>467</v>
      </c>
      <c r="G8">
        <v>3346662</v>
      </c>
      <c r="H8" t="s">
        <v>62</v>
      </c>
      <c r="I8" s="53" t="s">
        <v>60</v>
      </c>
      <c r="J8" s="53" t="s">
        <v>60</v>
      </c>
      <c r="K8" s="85">
        <v>467</v>
      </c>
      <c r="L8" s="30">
        <v>25</v>
      </c>
      <c r="M8" s="30">
        <v>15</v>
      </c>
      <c r="N8">
        <f t="shared" si="0"/>
        <v>83666550</v>
      </c>
      <c r="O8" s="30">
        <f t="shared" si="1"/>
        <v>50199930</v>
      </c>
      <c r="P8" s="59"/>
      <c r="Q8" s="59"/>
      <c r="R8" s="59"/>
    </row>
    <row r="9" spans="1:18">
      <c r="A9" s="2"/>
      <c r="B9" s="2"/>
      <c r="C9" s="2"/>
      <c r="D9" s="2"/>
      <c r="E9" s="69"/>
      <c r="G9" s="2"/>
      <c r="H9" s="2"/>
      <c r="I9" s="54"/>
      <c r="J9" s="54"/>
      <c r="L9" s="58"/>
      <c r="M9" s="58"/>
      <c r="N9" s="2"/>
      <c r="O9" s="31"/>
      <c r="P9" s="59"/>
      <c r="Q9" s="59"/>
      <c r="R9" s="59"/>
    </row>
    <row r="12" spans="1:18">
      <c r="A12" t="s">
        <v>64</v>
      </c>
      <c r="B12">
        <v>2018</v>
      </c>
      <c r="C12" t="s">
        <v>7</v>
      </c>
      <c r="D12">
        <v>940161</v>
      </c>
      <c r="E12" s="85">
        <f>I12/K12</f>
        <v>374654.65524625266</v>
      </c>
      <c r="F12" s="85" t="s">
        <v>467</v>
      </c>
      <c r="G12">
        <v>5067873</v>
      </c>
      <c r="H12" t="s">
        <v>62</v>
      </c>
      <c r="I12" s="53">
        <v>174963724</v>
      </c>
      <c r="J12" s="53" t="s">
        <v>109</v>
      </c>
      <c r="K12" s="85">
        <v>467</v>
      </c>
      <c r="L12" s="34"/>
    </row>
    <row r="13" spans="1:18">
      <c r="A13" t="s">
        <v>64</v>
      </c>
      <c r="B13">
        <v>2018</v>
      </c>
      <c r="C13" t="s">
        <v>16</v>
      </c>
      <c r="D13">
        <v>940161</v>
      </c>
      <c r="E13" s="85">
        <f t="shared" ref="E13:E23" si="3">I13/K13</f>
        <v>50886.627408993576</v>
      </c>
      <c r="F13" s="85" t="s">
        <v>467</v>
      </c>
      <c r="G13">
        <v>345988</v>
      </c>
      <c r="H13" t="s">
        <v>62</v>
      </c>
      <c r="I13" s="53">
        <v>23764055</v>
      </c>
      <c r="J13" s="53" t="s">
        <v>109</v>
      </c>
      <c r="K13" s="85">
        <v>467</v>
      </c>
      <c r="L13" s="34"/>
    </row>
    <row r="14" spans="1:18">
      <c r="A14" t="s">
        <v>65</v>
      </c>
      <c r="B14">
        <v>2018</v>
      </c>
      <c r="C14" t="s">
        <v>7</v>
      </c>
      <c r="D14">
        <v>940169</v>
      </c>
      <c r="E14" s="85">
        <f t="shared" si="3"/>
        <v>61563.383297644541</v>
      </c>
      <c r="F14" s="85" t="s">
        <v>467</v>
      </c>
      <c r="G14">
        <v>2122661</v>
      </c>
      <c r="H14" t="s">
        <v>62</v>
      </c>
      <c r="I14" s="53">
        <v>28750100</v>
      </c>
      <c r="J14" s="53" t="s">
        <v>109</v>
      </c>
      <c r="K14" s="85">
        <v>467</v>
      </c>
      <c r="L14" s="34"/>
    </row>
    <row r="15" spans="1:18">
      <c r="A15" t="s">
        <v>65</v>
      </c>
      <c r="B15">
        <v>2018</v>
      </c>
      <c r="C15" t="s">
        <v>16</v>
      </c>
      <c r="D15">
        <v>940169</v>
      </c>
      <c r="E15" s="85">
        <f t="shared" si="3"/>
        <v>39055.237687366171</v>
      </c>
      <c r="F15" s="85" t="s">
        <v>467</v>
      </c>
      <c r="G15">
        <v>0</v>
      </c>
      <c r="H15" t="s">
        <v>62</v>
      </c>
      <c r="I15" s="53">
        <v>18238796</v>
      </c>
      <c r="J15" s="53" t="s">
        <v>109</v>
      </c>
      <c r="K15" s="85">
        <v>467</v>
      </c>
      <c r="L15" s="34"/>
    </row>
    <row r="16" spans="1:18">
      <c r="A16" t="s">
        <v>66</v>
      </c>
      <c r="B16">
        <v>2018</v>
      </c>
      <c r="C16" t="s">
        <v>7</v>
      </c>
      <c r="D16">
        <v>940330</v>
      </c>
      <c r="E16" s="85">
        <f t="shared" si="3"/>
        <v>98885.95503211992</v>
      </c>
      <c r="F16" s="85" t="s">
        <v>467</v>
      </c>
      <c r="G16">
        <v>0</v>
      </c>
      <c r="H16" t="s">
        <v>62</v>
      </c>
      <c r="I16" s="53">
        <v>46179741</v>
      </c>
      <c r="J16" s="53" t="s">
        <v>109</v>
      </c>
      <c r="K16" s="85">
        <v>467</v>
      </c>
      <c r="L16" s="34"/>
    </row>
    <row r="17" spans="1:12">
      <c r="A17" t="s">
        <v>66</v>
      </c>
      <c r="B17">
        <v>2018</v>
      </c>
      <c r="C17" t="s">
        <v>16</v>
      </c>
      <c r="D17">
        <v>940330</v>
      </c>
      <c r="E17" s="85">
        <f t="shared" si="3"/>
        <v>30116.306209850107</v>
      </c>
      <c r="F17" s="85" t="s">
        <v>467</v>
      </c>
      <c r="G17">
        <v>1060330</v>
      </c>
      <c r="H17" t="s">
        <v>62</v>
      </c>
      <c r="I17" s="53">
        <v>14064315</v>
      </c>
      <c r="J17" s="53" t="s">
        <v>109</v>
      </c>
      <c r="K17" s="85">
        <v>467</v>
      </c>
      <c r="L17" s="34"/>
    </row>
    <row r="18" spans="1:12">
      <c r="A18" t="s">
        <v>67</v>
      </c>
      <c r="B18">
        <v>2018</v>
      </c>
      <c r="C18" t="s">
        <v>7</v>
      </c>
      <c r="D18">
        <v>940340</v>
      </c>
      <c r="E18" s="85">
        <f t="shared" si="3"/>
        <v>97888.655246252674</v>
      </c>
      <c r="F18" s="85" t="s">
        <v>467</v>
      </c>
      <c r="G18">
        <v>0</v>
      </c>
      <c r="H18" t="s">
        <v>62</v>
      </c>
      <c r="I18" s="53">
        <v>45714002</v>
      </c>
      <c r="J18" s="53" t="s">
        <v>109</v>
      </c>
      <c r="K18" s="85">
        <v>467</v>
      </c>
      <c r="L18" s="34"/>
    </row>
    <row r="19" spans="1:12">
      <c r="A19" t="s">
        <v>67</v>
      </c>
      <c r="B19">
        <v>2018</v>
      </c>
      <c r="C19" t="s">
        <v>16</v>
      </c>
      <c r="D19">
        <v>940340</v>
      </c>
      <c r="E19" s="85">
        <f t="shared" si="3"/>
        <v>33939.86295503212</v>
      </c>
      <c r="F19" s="85" t="s">
        <v>467</v>
      </c>
      <c r="G19">
        <v>1133659</v>
      </c>
      <c r="H19" t="s">
        <v>62</v>
      </c>
      <c r="I19" s="53">
        <v>15849916</v>
      </c>
      <c r="J19" s="53" t="s">
        <v>109</v>
      </c>
      <c r="K19" s="85">
        <v>467</v>
      </c>
      <c r="L19" s="34"/>
    </row>
    <row r="20" spans="1:12">
      <c r="A20" t="s">
        <v>68</v>
      </c>
      <c r="B20">
        <v>2018</v>
      </c>
      <c r="C20" t="s">
        <v>7</v>
      </c>
      <c r="D20">
        <v>940350</v>
      </c>
      <c r="E20" s="85">
        <f t="shared" si="3"/>
        <v>534065.92077087797</v>
      </c>
      <c r="F20" s="85" t="s">
        <v>467</v>
      </c>
      <c r="G20">
        <v>5422838</v>
      </c>
      <c r="H20" t="s">
        <v>62</v>
      </c>
      <c r="I20" s="53">
        <v>249408785</v>
      </c>
      <c r="J20" s="53" t="s">
        <v>109</v>
      </c>
      <c r="K20" s="85">
        <v>467</v>
      </c>
      <c r="L20" s="34"/>
    </row>
    <row r="21" spans="1:12">
      <c r="A21" t="s">
        <v>68</v>
      </c>
      <c r="B21">
        <v>2018</v>
      </c>
      <c r="C21" t="s">
        <v>16</v>
      </c>
      <c r="D21">
        <v>940350</v>
      </c>
      <c r="E21" s="85">
        <f t="shared" si="3"/>
        <v>18302.985010706638</v>
      </c>
      <c r="F21" s="85" t="s">
        <v>467</v>
      </c>
      <c r="G21">
        <v>539500</v>
      </c>
      <c r="H21" t="s">
        <v>62</v>
      </c>
      <c r="I21" s="53">
        <v>8547494</v>
      </c>
      <c r="J21" s="53" t="s">
        <v>109</v>
      </c>
      <c r="K21" s="85">
        <v>467</v>
      </c>
      <c r="L21" s="34"/>
    </row>
    <row r="22" spans="1:12">
      <c r="A22" t="s">
        <v>69</v>
      </c>
      <c r="B22">
        <v>2018</v>
      </c>
      <c r="C22" t="s">
        <v>7</v>
      </c>
      <c r="D22">
        <v>940360</v>
      </c>
      <c r="E22" s="85">
        <f t="shared" si="3"/>
        <v>1416840.7965738757</v>
      </c>
      <c r="F22" s="85" t="s">
        <v>467</v>
      </c>
      <c r="G22">
        <v>0</v>
      </c>
      <c r="H22" t="s">
        <v>62</v>
      </c>
      <c r="I22" s="53">
        <v>661664652</v>
      </c>
      <c r="J22" s="53" t="s">
        <v>109</v>
      </c>
      <c r="K22" s="85">
        <v>467</v>
      </c>
      <c r="L22" s="34"/>
    </row>
    <row r="23" spans="1:12">
      <c r="A23" t="s">
        <v>69</v>
      </c>
      <c r="B23">
        <v>2018</v>
      </c>
      <c r="C23" t="s">
        <v>16</v>
      </c>
      <c r="D23">
        <v>940360</v>
      </c>
      <c r="E23" s="85">
        <f t="shared" si="3"/>
        <v>112819.01498929336</v>
      </c>
      <c r="F23" s="85" t="s">
        <v>467</v>
      </c>
      <c r="G23">
        <v>2945570</v>
      </c>
      <c r="H23" t="s">
        <v>62</v>
      </c>
      <c r="I23" s="53">
        <v>52686480</v>
      </c>
      <c r="J23" s="53" t="s">
        <v>109</v>
      </c>
      <c r="K23" s="85">
        <v>467</v>
      </c>
      <c r="L23" s="34"/>
    </row>
    <row r="25" spans="1:12">
      <c r="D25" s="15"/>
    </row>
    <row r="27" spans="1:12">
      <c r="I27" s="59"/>
    </row>
    <row r="28" spans="1:12">
      <c r="I28" s="59"/>
    </row>
    <row r="29" spans="1:12">
      <c r="I29" s="59"/>
    </row>
    <row r="30" spans="1:12">
      <c r="I30" s="59"/>
    </row>
    <row r="31" spans="1:12">
      <c r="I31" s="59"/>
    </row>
    <row r="32" spans="1:12">
      <c r="I32" s="59"/>
    </row>
    <row r="33" spans="9:9">
      <c r="I33" s="59"/>
    </row>
    <row r="34" spans="9:9">
      <c r="I34" s="59"/>
    </row>
  </sheetData>
  <conditionalFormatting sqref="B2:C8">
    <cfRule type="cellIs" dxfId="0" priority="7" operator="equal">
      <formula>"£ Thousands"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8C7B-63D2-4EEA-B6D8-D92C1857EB2B}">
  <dimension ref="A1:M35"/>
  <sheetViews>
    <sheetView zoomScale="70" zoomScaleNormal="70" workbookViewId="0">
      <selection activeCell="Y10" sqref="Y10"/>
    </sheetView>
  </sheetViews>
  <sheetFormatPr defaultRowHeight="14.4"/>
  <cols>
    <col min="1" max="1" width="40.6640625" customWidth="1"/>
    <col min="5" max="5" width="11" style="85" bestFit="1" customWidth="1"/>
    <col min="6" max="6" width="9.109375" style="85"/>
    <col min="7" max="7" width="10.5546875" bestFit="1" customWidth="1"/>
    <col min="8" max="8" width="18.88671875" bestFit="1" customWidth="1"/>
    <col min="9" max="9" width="11.109375" bestFit="1" customWidth="1"/>
    <col min="10" max="10" width="11.109375" style="85" customWidth="1"/>
    <col min="11" max="11" width="10" bestFit="1" customWidth="1"/>
  </cols>
  <sheetData>
    <row r="1" spans="1:13" ht="15" thickBot="1">
      <c r="A1" s="10" t="s">
        <v>3</v>
      </c>
      <c r="B1" s="10" t="s">
        <v>72</v>
      </c>
      <c r="C1" s="10" t="s">
        <v>73</v>
      </c>
      <c r="D1" s="10" t="s">
        <v>70</v>
      </c>
      <c r="E1" s="10" t="s">
        <v>468</v>
      </c>
      <c r="F1" s="10" t="s">
        <v>56</v>
      </c>
      <c r="G1" s="10" t="s">
        <v>54</v>
      </c>
      <c r="H1" s="10" t="s">
        <v>115</v>
      </c>
      <c r="I1" s="10" t="s">
        <v>74</v>
      </c>
      <c r="J1" s="10" t="s">
        <v>466</v>
      </c>
      <c r="K1" s="25" t="s">
        <v>320</v>
      </c>
      <c r="L1" s="25" t="s">
        <v>305</v>
      </c>
      <c r="M1" s="25"/>
    </row>
    <row r="2" spans="1:13">
      <c r="A2" s="68" t="s">
        <v>116</v>
      </c>
      <c r="B2">
        <v>2019</v>
      </c>
      <c r="C2" t="s">
        <v>71</v>
      </c>
      <c r="D2" s="7">
        <v>4417</v>
      </c>
      <c r="E2" s="7">
        <f>I2/J2</f>
        <v>315.28907922912208</v>
      </c>
      <c r="F2" s="7" t="s">
        <v>467</v>
      </c>
      <c r="G2" s="11">
        <v>147240</v>
      </c>
      <c r="H2" t="s">
        <v>109</v>
      </c>
      <c r="I2" s="11">
        <v>147240</v>
      </c>
      <c r="J2" s="11">
        <v>467</v>
      </c>
      <c r="K2">
        <v>6</v>
      </c>
      <c r="L2">
        <v>8</v>
      </c>
      <c r="M2" s="9"/>
    </row>
    <row r="3" spans="1:13">
      <c r="A3" s="68" t="s">
        <v>117</v>
      </c>
      <c r="B3">
        <v>2019</v>
      </c>
      <c r="C3" t="s">
        <v>71</v>
      </c>
      <c r="D3" s="7">
        <v>96140010</v>
      </c>
      <c r="E3" s="7">
        <f t="shared" ref="E3:E35" si="0">I3/J3</f>
        <v>0</v>
      </c>
      <c r="F3" s="7" t="s">
        <v>467</v>
      </c>
      <c r="G3" s="7">
        <v>0</v>
      </c>
      <c r="I3" s="7">
        <v>0</v>
      </c>
      <c r="J3" s="11">
        <v>467</v>
      </c>
      <c r="K3" s="36">
        <v>6</v>
      </c>
      <c r="L3" s="36">
        <v>8</v>
      </c>
      <c r="M3" s="9"/>
    </row>
    <row r="4" spans="1:13">
      <c r="A4" s="68" t="s">
        <v>118</v>
      </c>
      <c r="B4">
        <v>2019</v>
      </c>
      <c r="C4" t="s">
        <v>71</v>
      </c>
      <c r="D4" s="7">
        <v>4419</v>
      </c>
      <c r="E4" s="7">
        <f t="shared" si="0"/>
        <v>16.460385438972164</v>
      </c>
      <c r="F4" s="7" t="s">
        <v>467</v>
      </c>
      <c r="G4" s="11">
        <v>7687</v>
      </c>
      <c r="H4" t="s">
        <v>109</v>
      </c>
      <c r="I4" s="11">
        <v>7687</v>
      </c>
      <c r="J4" s="11">
        <v>467</v>
      </c>
      <c r="K4" s="36">
        <v>6</v>
      </c>
      <c r="L4" s="36">
        <v>8</v>
      </c>
      <c r="M4" s="9"/>
    </row>
    <row r="5" spans="1:13">
      <c r="A5" s="68" t="s">
        <v>119</v>
      </c>
      <c r="B5">
        <v>2019</v>
      </c>
      <c r="C5" t="s">
        <v>71</v>
      </c>
      <c r="D5" s="7">
        <v>4420</v>
      </c>
      <c r="E5" s="7">
        <f t="shared" si="0"/>
        <v>0</v>
      </c>
      <c r="F5" s="7" t="s">
        <v>467</v>
      </c>
      <c r="G5" s="7">
        <v>0</v>
      </c>
      <c r="I5" s="7">
        <v>0</v>
      </c>
      <c r="J5" s="11">
        <v>467</v>
      </c>
      <c r="K5" s="36">
        <v>6</v>
      </c>
      <c r="L5" s="36">
        <v>8</v>
      </c>
      <c r="M5" s="9"/>
    </row>
    <row r="6" spans="1:13">
      <c r="A6" s="68" t="s">
        <v>120</v>
      </c>
      <c r="B6">
        <v>2019</v>
      </c>
      <c r="C6" t="s">
        <v>71</v>
      </c>
      <c r="D6" s="7">
        <v>4414</v>
      </c>
      <c r="E6" s="7">
        <f t="shared" si="0"/>
        <v>1604.6812633832976</v>
      </c>
      <c r="F6" s="7" t="s">
        <v>467</v>
      </c>
      <c r="G6" s="7">
        <v>14987723</v>
      </c>
      <c r="H6" t="s">
        <v>121</v>
      </c>
      <c r="I6" s="7">
        <f>G6*0.05</f>
        <v>749386.15</v>
      </c>
      <c r="J6" s="11">
        <v>467</v>
      </c>
      <c r="K6" s="36">
        <v>6</v>
      </c>
      <c r="L6" s="36">
        <v>8</v>
      </c>
      <c r="M6" s="9"/>
    </row>
    <row r="7" spans="1:13" ht="14.4" customHeight="1">
      <c r="A7" s="68" t="s">
        <v>471</v>
      </c>
      <c r="B7">
        <v>2019</v>
      </c>
      <c r="C7" t="s">
        <v>71</v>
      </c>
      <c r="D7" s="7">
        <v>4421</v>
      </c>
      <c r="E7" s="7">
        <f t="shared" si="0"/>
        <v>0</v>
      </c>
      <c r="F7" s="7" t="s">
        <v>467</v>
      </c>
      <c r="G7" s="7">
        <v>0</v>
      </c>
      <c r="I7" s="7">
        <v>0</v>
      </c>
      <c r="J7" s="11">
        <v>467</v>
      </c>
      <c r="K7" s="36">
        <v>6</v>
      </c>
      <c r="L7" s="36">
        <v>8</v>
      </c>
      <c r="M7" s="9"/>
    </row>
    <row r="8" spans="1:13">
      <c r="E8" s="7"/>
      <c r="F8" s="7"/>
      <c r="J8" s="11"/>
      <c r="K8" s="36"/>
      <c r="L8" s="36"/>
      <c r="M8" s="9"/>
    </row>
    <row r="9" spans="1:13">
      <c r="A9" s="8" t="s">
        <v>122</v>
      </c>
      <c r="B9">
        <v>2019</v>
      </c>
      <c r="C9" s="8" t="s">
        <v>7</v>
      </c>
      <c r="D9" s="8">
        <v>4419</v>
      </c>
      <c r="E9" s="7">
        <f t="shared" si="0"/>
        <v>44080.37473233405</v>
      </c>
      <c r="F9" s="7" t="s">
        <v>467</v>
      </c>
      <c r="G9" s="8">
        <v>20585535</v>
      </c>
      <c r="H9" s="8" t="s">
        <v>109</v>
      </c>
      <c r="I9" s="8">
        <v>20585535</v>
      </c>
      <c r="J9" s="11">
        <v>467</v>
      </c>
      <c r="K9" s="36">
        <v>6</v>
      </c>
      <c r="L9" s="36">
        <v>8</v>
      </c>
      <c r="M9" s="9"/>
    </row>
    <row r="10" spans="1:13">
      <c r="A10" s="8" t="s">
        <v>122</v>
      </c>
      <c r="B10">
        <v>2019</v>
      </c>
      <c r="C10" s="8" t="s">
        <v>16</v>
      </c>
      <c r="D10" s="8">
        <v>4419</v>
      </c>
      <c r="E10" s="7">
        <f t="shared" si="0"/>
        <v>0</v>
      </c>
      <c r="F10" s="7" t="s">
        <v>467</v>
      </c>
      <c r="G10" s="8">
        <v>0</v>
      </c>
      <c r="H10" s="8" t="s">
        <v>109</v>
      </c>
      <c r="I10" s="8">
        <v>0</v>
      </c>
      <c r="J10" s="11">
        <v>467</v>
      </c>
      <c r="K10" s="36">
        <v>6</v>
      </c>
      <c r="L10" s="36">
        <v>8</v>
      </c>
      <c r="M10" s="9"/>
    </row>
    <row r="11" spans="1:13">
      <c r="A11" t="s">
        <v>125</v>
      </c>
      <c r="B11">
        <v>2019</v>
      </c>
      <c r="C11" t="s">
        <v>7</v>
      </c>
      <c r="D11">
        <v>441911</v>
      </c>
      <c r="E11" s="7">
        <f t="shared" si="0"/>
        <v>0</v>
      </c>
      <c r="F11" s="7" t="s">
        <v>467</v>
      </c>
      <c r="G11">
        <v>0</v>
      </c>
      <c r="H11" t="s">
        <v>109</v>
      </c>
      <c r="I11">
        <v>0</v>
      </c>
      <c r="J11" s="11">
        <v>467</v>
      </c>
      <c r="K11" s="36">
        <v>6</v>
      </c>
      <c r="L11" s="36">
        <v>8</v>
      </c>
      <c r="M11" s="9"/>
    </row>
    <row r="12" spans="1:13">
      <c r="A12" t="s">
        <v>125</v>
      </c>
      <c r="B12">
        <v>2019</v>
      </c>
      <c r="C12" t="s">
        <v>16</v>
      </c>
      <c r="D12">
        <v>441911</v>
      </c>
      <c r="E12" s="7">
        <f t="shared" si="0"/>
        <v>0</v>
      </c>
      <c r="F12" s="7" t="s">
        <v>467</v>
      </c>
      <c r="G12">
        <v>0</v>
      </c>
      <c r="H12" t="s">
        <v>109</v>
      </c>
      <c r="I12">
        <v>0</v>
      </c>
      <c r="J12" s="11">
        <v>467</v>
      </c>
      <c r="K12" s="36">
        <v>6</v>
      </c>
      <c r="L12" s="36">
        <v>8</v>
      </c>
      <c r="M12" s="9"/>
    </row>
    <row r="13" spans="1:13">
      <c r="A13" t="s">
        <v>126</v>
      </c>
      <c r="B13">
        <v>2019</v>
      </c>
      <c r="C13" t="s">
        <v>7</v>
      </c>
      <c r="D13">
        <v>441912</v>
      </c>
      <c r="E13" s="7">
        <f t="shared" si="0"/>
        <v>1956.1541755888652</v>
      </c>
      <c r="F13" s="7" t="s">
        <v>467</v>
      </c>
      <c r="G13">
        <v>913524</v>
      </c>
      <c r="H13" t="s">
        <v>109</v>
      </c>
      <c r="I13">
        <v>913524</v>
      </c>
      <c r="J13" s="11">
        <v>467</v>
      </c>
      <c r="K13" s="36">
        <v>6</v>
      </c>
      <c r="L13" s="36">
        <v>8</v>
      </c>
      <c r="M13" s="9"/>
    </row>
    <row r="14" spans="1:13">
      <c r="A14" t="s">
        <v>126</v>
      </c>
      <c r="B14">
        <v>2019</v>
      </c>
      <c r="C14" t="s">
        <v>16</v>
      </c>
      <c r="D14">
        <v>441912</v>
      </c>
      <c r="E14" s="7">
        <f t="shared" si="0"/>
        <v>83.494646680942182</v>
      </c>
      <c r="F14" s="7" t="s">
        <v>467</v>
      </c>
      <c r="G14">
        <v>38992</v>
      </c>
      <c r="H14" t="s">
        <v>109</v>
      </c>
      <c r="I14">
        <v>38992</v>
      </c>
      <c r="J14" s="11">
        <v>467</v>
      </c>
      <c r="K14" s="36">
        <v>6</v>
      </c>
      <c r="L14" s="36">
        <v>8</v>
      </c>
      <c r="M14" s="9"/>
    </row>
    <row r="15" spans="1:13">
      <c r="A15" t="s">
        <v>127</v>
      </c>
      <c r="B15">
        <v>2018</v>
      </c>
      <c r="C15" t="s">
        <v>7</v>
      </c>
      <c r="D15">
        <v>441919</v>
      </c>
      <c r="E15" s="7">
        <f t="shared" si="0"/>
        <v>5585.9743040685225</v>
      </c>
      <c r="F15" s="7" t="s">
        <v>467</v>
      </c>
      <c r="G15">
        <v>2608650</v>
      </c>
      <c r="H15" t="s">
        <v>109</v>
      </c>
      <c r="I15">
        <v>2608650</v>
      </c>
      <c r="J15" s="11">
        <v>467</v>
      </c>
      <c r="K15" s="36">
        <v>6</v>
      </c>
      <c r="L15" s="36">
        <v>8</v>
      </c>
      <c r="M15" s="9"/>
    </row>
    <row r="16" spans="1:13">
      <c r="A16" t="s">
        <v>127</v>
      </c>
      <c r="B16">
        <v>2018</v>
      </c>
      <c r="C16" t="s">
        <v>16</v>
      </c>
      <c r="D16">
        <v>441919</v>
      </c>
      <c r="E16" s="7">
        <f t="shared" si="0"/>
        <v>711.46038543897214</v>
      </c>
      <c r="F16" s="7" t="s">
        <v>467</v>
      </c>
      <c r="G16">
        <v>332252</v>
      </c>
      <c r="H16" t="s">
        <v>109</v>
      </c>
      <c r="I16">
        <v>332252</v>
      </c>
      <c r="J16" s="11">
        <v>467</v>
      </c>
      <c r="K16" s="36">
        <v>6</v>
      </c>
      <c r="L16" s="36">
        <v>8</v>
      </c>
      <c r="M16" s="9"/>
    </row>
    <row r="17" spans="1:13">
      <c r="A17" t="s">
        <v>128</v>
      </c>
      <c r="B17">
        <v>2018</v>
      </c>
      <c r="C17" t="s">
        <v>7</v>
      </c>
      <c r="D17">
        <v>441990</v>
      </c>
      <c r="E17" s="7">
        <f t="shared" si="0"/>
        <v>24111.905781584581</v>
      </c>
      <c r="F17" s="7" t="s">
        <v>467</v>
      </c>
      <c r="G17">
        <v>11260260</v>
      </c>
      <c r="H17" t="s">
        <v>109</v>
      </c>
      <c r="I17">
        <v>11260260</v>
      </c>
      <c r="J17" s="11">
        <v>467</v>
      </c>
      <c r="K17" s="36">
        <v>6</v>
      </c>
      <c r="L17" s="36">
        <v>8</v>
      </c>
      <c r="M17" s="9"/>
    </row>
    <row r="18" spans="1:13">
      <c r="A18" t="s">
        <v>128</v>
      </c>
      <c r="B18">
        <v>2018</v>
      </c>
      <c r="C18" t="s">
        <v>16</v>
      </c>
      <c r="D18">
        <v>441990</v>
      </c>
      <c r="E18" s="7">
        <f t="shared" si="0"/>
        <v>3169.4282655246252</v>
      </c>
      <c r="F18" s="7" t="s">
        <v>467</v>
      </c>
      <c r="G18">
        <v>1480123</v>
      </c>
      <c r="H18" t="s">
        <v>109</v>
      </c>
      <c r="I18">
        <v>1480123</v>
      </c>
      <c r="J18" s="11">
        <v>467</v>
      </c>
      <c r="K18" s="36">
        <v>6</v>
      </c>
      <c r="L18" s="36">
        <v>8</v>
      </c>
      <c r="M18" s="9"/>
    </row>
    <row r="19" spans="1:13">
      <c r="A19" s="8" t="s">
        <v>123</v>
      </c>
      <c r="B19">
        <v>2018</v>
      </c>
      <c r="C19" s="8" t="s">
        <v>7</v>
      </c>
      <c r="D19" s="8">
        <v>4420</v>
      </c>
      <c r="E19" s="7">
        <f t="shared" si="0"/>
        <v>31007.920770877943</v>
      </c>
      <c r="F19" s="7" t="s">
        <v>467</v>
      </c>
      <c r="G19" s="8">
        <v>14480699</v>
      </c>
      <c r="H19" s="8" t="s">
        <v>109</v>
      </c>
      <c r="I19" s="8">
        <v>14480699</v>
      </c>
      <c r="J19" s="11">
        <v>467</v>
      </c>
      <c r="K19" s="36">
        <v>6</v>
      </c>
      <c r="L19" s="36">
        <v>8</v>
      </c>
      <c r="M19" s="9"/>
    </row>
    <row r="20" spans="1:13">
      <c r="A20" s="8" t="s">
        <v>123</v>
      </c>
      <c r="B20">
        <v>2018</v>
      </c>
      <c r="C20" s="8" t="s">
        <v>16</v>
      </c>
      <c r="D20" s="8">
        <v>4420</v>
      </c>
      <c r="E20" s="7">
        <f t="shared" si="0"/>
        <v>2985.6895074946465</v>
      </c>
      <c r="F20" s="7" t="s">
        <v>467</v>
      </c>
      <c r="G20" s="8">
        <v>1394317</v>
      </c>
      <c r="H20" s="8" t="s">
        <v>109</v>
      </c>
      <c r="I20" s="8">
        <v>1394317</v>
      </c>
      <c r="J20" s="11">
        <v>467</v>
      </c>
      <c r="K20" s="36">
        <v>6</v>
      </c>
      <c r="L20" s="36">
        <v>8</v>
      </c>
      <c r="M20" s="9"/>
    </row>
    <row r="21" spans="1:13">
      <c r="A21" t="s">
        <v>129</v>
      </c>
      <c r="B21">
        <v>2018</v>
      </c>
      <c r="C21" t="s">
        <v>7</v>
      </c>
      <c r="D21">
        <v>442010</v>
      </c>
      <c r="E21" s="7">
        <f t="shared" si="0"/>
        <v>13405.678800856531</v>
      </c>
      <c r="F21" s="7" t="s">
        <v>467</v>
      </c>
      <c r="G21">
        <v>6260452</v>
      </c>
      <c r="H21" t="s">
        <v>109</v>
      </c>
      <c r="I21">
        <v>6260452</v>
      </c>
      <c r="J21" s="11">
        <v>467</v>
      </c>
      <c r="K21" s="36">
        <v>6</v>
      </c>
      <c r="L21" s="36">
        <v>8</v>
      </c>
      <c r="M21" s="9"/>
    </row>
    <row r="22" spans="1:13">
      <c r="A22" t="s">
        <v>129</v>
      </c>
      <c r="B22">
        <v>2018</v>
      </c>
      <c r="C22" t="s">
        <v>16</v>
      </c>
      <c r="D22">
        <v>442010</v>
      </c>
      <c r="E22" s="7">
        <f t="shared" si="0"/>
        <v>1514.0749464668095</v>
      </c>
      <c r="F22" s="7" t="s">
        <v>467</v>
      </c>
      <c r="G22">
        <v>707073</v>
      </c>
      <c r="H22" t="s">
        <v>109</v>
      </c>
      <c r="I22">
        <v>707073</v>
      </c>
      <c r="J22" s="11">
        <v>467</v>
      </c>
      <c r="K22" s="36">
        <v>6</v>
      </c>
      <c r="L22" s="36">
        <v>8</v>
      </c>
      <c r="M22" s="9"/>
    </row>
    <row r="23" spans="1:13">
      <c r="A23" t="s">
        <v>130</v>
      </c>
      <c r="B23">
        <v>2018</v>
      </c>
      <c r="C23" t="s">
        <v>7</v>
      </c>
      <c r="D23">
        <v>442090</v>
      </c>
      <c r="E23" s="7">
        <f t="shared" si="0"/>
        <v>17602.241970021412</v>
      </c>
      <c r="F23" s="7" t="s">
        <v>467</v>
      </c>
      <c r="G23">
        <v>8220247</v>
      </c>
      <c r="H23" t="s">
        <v>109</v>
      </c>
      <c r="I23">
        <v>8220247</v>
      </c>
      <c r="J23" s="11">
        <v>467</v>
      </c>
      <c r="K23" s="36">
        <v>6</v>
      </c>
      <c r="L23" s="36">
        <v>8</v>
      </c>
      <c r="M23" s="9"/>
    </row>
    <row r="24" spans="1:13">
      <c r="A24" t="s">
        <v>130</v>
      </c>
      <c r="B24">
        <v>2018</v>
      </c>
      <c r="C24" t="s">
        <v>16</v>
      </c>
      <c r="D24">
        <v>442090</v>
      </c>
      <c r="E24" s="7">
        <f t="shared" si="0"/>
        <v>1471.6124197002141</v>
      </c>
      <c r="F24" s="7" t="s">
        <v>467</v>
      </c>
      <c r="G24">
        <v>687243</v>
      </c>
      <c r="H24" t="s">
        <v>109</v>
      </c>
      <c r="I24">
        <v>687243</v>
      </c>
      <c r="J24" s="11">
        <v>467</v>
      </c>
      <c r="K24" s="36">
        <v>6</v>
      </c>
      <c r="L24" s="36">
        <v>8</v>
      </c>
      <c r="M24" s="9"/>
    </row>
    <row r="25" spans="1:13">
      <c r="A25" s="8" t="s">
        <v>124</v>
      </c>
      <c r="B25">
        <v>2018</v>
      </c>
      <c r="C25" s="8" t="s">
        <v>7</v>
      </c>
      <c r="D25" s="8">
        <v>4421</v>
      </c>
      <c r="E25" s="7">
        <f t="shared" si="0"/>
        <v>388843.91006423981</v>
      </c>
      <c r="F25" s="7" t="s">
        <v>467</v>
      </c>
      <c r="G25" s="8">
        <v>181590106</v>
      </c>
      <c r="H25" s="8" t="s">
        <v>109</v>
      </c>
      <c r="I25" s="8">
        <v>181590106</v>
      </c>
      <c r="J25" s="11">
        <v>467</v>
      </c>
      <c r="K25" s="36">
        <v>6</v>
      </c>
      <c r="L25" s="36">
        <v>8</v>
      </c>
      <c r="M25" s="9"/>
    </row>
    <row r="26" spans="1:13">
      <c r="A26" s="8" t="s">
        <v>124</v>
      </c>
      <c r="B26">
        <v>2018</v>
      </c>
      <c r="C26" s="8" t="s">
        <v>16</v>
      </c>
      <c r="D26" s="8">
        <v>4421</v>
      </c>
      <c r="E26" s="7">
        <f t="shared" si="0"/>
        <v>18992.062098501072</v>
      </c>
      <c r="F26" s="7" t="s">
        <v>467</v>
      </c>
      <c r="G26" s="8">
        <v>8869293</v>
      </c>
      <c r="H26" s="8" t="s">
        <v>109</v>
      </c>
      <c r="I26" s="8">
        <v>8869293</v>
      </c>
      <c r="J26" s="11">
        <v>467</v>
      </c>
      <c r="K26" s="36">
        <v>6</v>
      </c>
      <c r="L26" s="36">
        <v>8</v>
      </c>
      <c r="M26" s="14"/>
    </row>
    <row r="27" spans="1:13">
      <c r="A27" s="9" t="s">
        <v>131</v>
      </c>
      <c r="B27">
        <v>2018</v>
      </c>
      <c r="C27" s="9" t="s">
        <v>7</v>
      </c>
      <c r="D27" s="9">
        <v>442110</v>
      </c>
      <c r="E27" s="7">
        <f t="shared" si="0"/>
        <v>10786.650963597431</v>
      </c>
      <c r="F27" s="7" t="s">
        <v>467</v>
      </c>
      <c r="G27" s="9">
        <v>5037366</v>
      </c>
      <c r="H27" s="9" t="s">
        <v>109</v>
      </c>
      <c r="I27" s="9">
        <v>5037366</v>
      </c>
      <c r="J27" s="11">
        <v>467</v>
      </c>
      <c r="K27" s="36">
        <v>6</v>
      </c>
      <c r="L27" s="36">
        <v>8</v>
      </c>
      <c r="M27" s="9"/>
    </row>
    <row r="28" spans="1:13">
      <c r="A28" s="9" t="s">
        <v>131</v>
      </c>
      <c r="B28">
        <v>2018</v>
      </c>
      <c r="C28" s="9" t="s">
        <v>16</v>
      </c>
      <c r="D28" s="9">
        <v>442110</v>
      </c>
      <c r="E28" s="7">
        <f t="shared" si="0"/>
        <v>803.12205567451815</v>
      </c>
      <c r="F28" s="7" t="s">
        <v>467</v>
      </c>
      <c r="G28" s="9">
        <v>375058</v>
      </c>
      <c r="H28" s="9" t="s">
        <v>109</v>
      </c>
      <c r="I28" s="9">
        <v>375058</v>
      </c>
      <c r="J28" s="11">
        <v>467</v>
      </c>
      <c r="K28" s="36">
        <v>6</v>
      </c>
      <c r="L28" s="36">
        <v>8</v>
      </c>
      <c r="M28" s="9"/>
    </row>
    <row r="29" spans="1:13">
      <c r="A29" t="s">
        <v>132</v>
      </c>
      <c r="B29">
        <v>2018</v>
      </c>
      <c r="C29" t="s">
        <v>7</v>
      </c>
      <c r="D29">
        <v>442191</v>
      </c>
      <c r="E29" s="7">
        <f t="shared" si="0"/>
        <v>11651.197002141327</v>
      </c>
      <c r="F29" s="7" t="s">
        <v>467</v>
      </c>
      <c r="G29">
        <v>5441109</v>
      </c>
      <c r="H29" t="s">
        <v>109</v>
      </c>
      <c r="I29">
        <v>5441109</v>
      </c>
      <c r="J29" s="11">
        <v>467</v>
      </c>
      <c r="K29" s="36">
        <v>6</v>
      </c>
      <c r="L29" s="36">
        <v>8</v>
      </c>
      <c r="M29" s="9"/>
    </row>
    <row r="30" spans="1:13">
      <c r="A30" t="s">
        <v>132</v>
      </c>
      <c r="B30">
        <v>2018</v>
      </c>
      <c r="C30" t="s">
        <v>16</v>
      </c>
      <c r="D30">
        <v>442191</v>
      </c>
      <c r="E30" s="7">
        <f t="shared" si="0"/>
        <v>822.24839400428266</v>
      </c>
      <c r="F30" s="7" t="s">
        <v>467</v>
      </c>
      <c r="G30">
        <v>383990</v>
      </c>
      <c r="H30" t="s">
        <v>109</v>
      </c>
      <c r="I30">
        <v>383990</v>
      </c>
      <c r="J30" s="11">
        <v>467</v>
      </c>
      <c r="K30" s="36">
        <v>6</v>
      </c>
      <c r="L30" s="36">
        <v>8</v>
      </c>
      <c r="M30" s="9"/>
    </row>
    <row r="31" spans="1:13">
      <c r="A31" t="s">
        <v>133</v>
      </c>
      <c r="B31">
        <v>2018</v>
      </c>
      <c r="C31" t="s">
        <v>7</v>
      </c>
      <c r="D31">
        <v>442199</v>
      </c>
      <c r="E31" s="7">
        <f t="shared" si="0"/>
        <v>366406.05995717342</v>
      </c>
      <c r="F31" s="7" t="s">
        <v>467</v>
      </c>
      <c r="G31">
        <v>171111630</v>
      </c>
      <c r="H31" t="s">
        <v>109</v>
      </c>
      <c r="I31">
        <v>171111630</v>
      </c>
      <c r="J31" s="11">
        <v>467</v>
      </c>
      <c r="K31" s="36">
        <v>6</v>
      </c>
      <c r="L31" s="36">
        <v>8</v>
      </c>
      <c r="M31" s="9"/>
    </row>
    <row r="32" spans="1:13">
      <c r="A32" t="s">
        <v>133</v>
      </c>
      <c r="B32">
        <v>2018</v>
      </c>
      <c r="C32" t="s">
        <v>16</v>
      </c>
      <c r="D32">
        <v>442199</v>
      </c>
      <c r="E32" s="7">
        <f t="shared" si="0"/>
        <v>0</v>
      </c>
      <c r="F32" s="7" t="s">
        <v>467</v>
      </c>
      <c r="G32">
        <v>8110244</v>
      </c>
      <c r="H32" t="s">
        <v>109</v>
      </c>
      <c r="J32" s="11">
        <v>467</v>
      </c>
      <c r="K32" s="36"/>
      <c r="L32" s="36"/>
      <c r="M32" s="9"/>
    </row>
    <row r="33" spans="1:13">
      <c r="E33" s="7"/>
      <c r="F33" s="7"/>
      <c r="I33" s="55"/>
      <c r="J33" s="11"/>
      <c r="K33" s="55"/>
      <c r="L33" s="55"/>
    </row>
    <row r="34" spans="1:13">
      <c r="A34" t="s">
        <v>370</v>
      </c>
      <c r="B34">
        <v>2019</v>
      </c>
      <c r="C34" t="s">
        <v>7</v>
      </c>
      <c r="E34" s="7">
        <f t="shared" si="0"/>
        <v>176278.86509635975</v>
      </c>
      <c r="F34" s="7" t="s">
        <v>467</v>
      </c>
      <c r="G34" s="34">
        <v>82322230</v>
      </c>
      <c r="H34" t="s">
        <v>109</v>
      </c>
      <c r="I34" s="55">
        <v>82322230</v>
      </c>
      <c r="J34" s="11">
        <v>467</v>
      </c>
      <c r="K34" s="55">
        <v>6</v>
      </c>
      <c r="L34" s="55">
        <v>8</v>
      </c>
      <c r="M34" s="9"/>
    </row>
    <row r="35" spans="1:13">
      <c r="A35" s="55" t="s">
        <v>370</v>
      </c>
      <c r="B35">
        <v>2020</v>
      </c>
      <c r="C35" t="s">
        <v>114</v>
      </c>
      <c r="E35" s="7">
        <f t="shared" si="0"/>
        <v>3908.5267665952892</v>
      </c>
      <c r="F35" s="7" t="s">
        <v>467</v>
      </c>
      <c r="G35" s="55">
        <v>1825282</v>
      </c>
      <c r="H35" s="55" t="s">
        <v>109</v>
      </c>
      <c r="I35" s="55">
        <v>1825282</v>
      </c>
      <c r="J35" s="11">
        <v>467</v>
      </c>
      <c r="K35" s="55">
        <v>6</v>
      </c>
      <c r="L35" s="55">
        <v>8</v>
      </c>
      <c r="M35" s="9"/>
    </row>
  </sheetData>
  <phoneticPr fontId="4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Observations</vt:lpstr>
      <vt:lpstr>Roundwood and other raw wood</vt:lpstr>
      <vt:lpstr>Sawnwood</vt:lpstr>
      <vt:lpstr>By-products </vt:lpstr>
      <vt:lpstr>Wood-panels</vt:lpstr>
      <vt:lpstr>Pulp and Paper</vt:lpstr>
      <vt:lpstr>Industrial packaging</vt:lpstr>
      <vt:lpstr>Furniture</vt:lpstr>
      <vt:lpstr>Other objects</vt:lpstr>
      <vt:lpstr>Joinery</vt:lpstr>
      <vt:lpstr>Construction</vt:lpstr>
      <vt:lpstr>Fencing and outdoors</vt:lpstr>
      <vt:lpstr>Wood pellets</vt:lpstr>
      <vt:lpstr>RMI and Refurbishment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Anspach</dc:creator>
  <cp:lastModifiedBy>Rebeka Anspach</cp:lastModifiedBy>
  <dcterms:created xsi:type="dcterms:W3CDTF">2022-09-08T13:57:48Z</dcterms:created>
  <dcterms:modified xsi:type="dcterms:W3CDTF">2023-11-14T12:42:19Z</dcterms:modified>
</cp:coreProperties>
</file>