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blocke/Box Sync/Residency Personal Files/MSCI/MDCRC 6200 SRMA/Paper Drafts/June 2023 Submission/"/>
    </mc:Choice>
  </mc:AlternateContent>
  <xr:revisionPtr revIDLastSave="0" documentId="13_ncr:1_{DBDBB8A8-BB4D-4347-B494-438BAAC199D4}" xr6:coauthVersionLast="47" xr6:coauthVersionMax="47" xr10:uidLastSave="{00000000-0000-0000-0000-000000000000}"/>
  <bookViews>
    <workbookView xWindow="3420" yWindow="500" windowWidth="25380" windowHeight="16340" xr2:uid="{5F2191BF-90D6-5446-9FA4-7A4549FAC1B9}"/>
  </bookViews>
  <sheets>
    <sheet name="Sheet1" sheetId="1" r:id="rId1"/>
    <sheet name="AGL chec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F5" i="1" l="1"/>
  <c r="BD5" i="1"/>
  <c r="AE5" i="1"/>
  <c r="AC5" i="1"/>
  <c r="AF5" i="1"/>
  <c r="Z5" i="1"/>
  <c r="BG5" i="1"/>
  <c r="BA5" i="1"/>
  <c r="AI2" i="1"/>
  <c r="BI2" i="1"/>
  <c r="G2" i="1"/>
  <c r="O14" i="1"/>
  <c r="W14" i="1"/>
  <c r="I14" i="1"/>
  <c r="K14" i="1" s="1"/>
  <c r="AY14" i="1"/>
  <c r="AM14" i="1"/>
  <c r="AQ14" i="1"/>
  <c r="AK14" i="1"/>
  <c r="BC10" i="1"/>
  <c r="BC8" i="1"/>
  <c r="BC7" i="1"/>
  <c r="AU10" i="1"/>
  <c r="AU8" i="1"/>
  <c r="AU7" i="1"/>
  <c r="AM13" i="1"/>
  <c r="AM12" i="1"/>
  <c r="AM10" i="1"/>
  <c r="AM8" i="1"/>
  <c r="AM7" i="1"/>
  <c r="AB10" i="1"/>
  <c r="AB8" i="1"/>
  <c r="AB7" i="1"/>
  <c r="S10" i="1"/>
  <c r="S8" i="1"/>
  <c r="S7" i="1"/>
  <c r="K13" i="1"/>
  <c r="K12" i="1"/>
  <c r="K10" i="1"/>
  <c r="K8" i="1"/>
  <c r="K7" i="1"/>
  <c r="AF10" i="1"/>
  <c r="AE10" i="1"/>
  <c r="AG10" i="1" s="1"/>
  <c r="BG10" i="1"/>
  <c r="BF10" i="1"/>
  <c r="BH10" i="1" s="1"/>
  <c r="BF9" i="1"/>
  <c r="BH9" i="1" s="1"/>
  <c r="BE9" i="1"/>
  <c r="BG9" i="1" s="1"/>
  <c r="AA9" i="1"/>
  <c r="AE9" i="1"/>
  <c r="AG9" i="1" s="1"/>
  <c r="AD9" i="1"/>
  <c r="AF9" i="1" s="1"/>
  <c r="BG8" i="1"/>
  <c r="BF8" i="1"/>
  <c r="BH8" i="1" s="1"/>
  <c r="AZ8" i="1"/>
  <c r="AE8" i="1"/>
  <c r="AG8" i="1" s="1"/>
  <c r="AF8" i="1"/>
  <c r="BG7" i="1"/>
  <c r="BF7" i="1"/>
  <c r="BH7" i="1" s="1"/>
  <c r="AF7" i="1"/>
  <c r="AE7" i="1"/>
  <c r="AG7" i="1" s="1"/>
  <c r="BF6" i="1"/>
  <c r="BH6" i="1" s="1"/>
  <c r="AE6" i="1"/>
  <c r="AG6" i="1" s="1"/>
  <c r="BE6" i="1"/>
  <c r="BG6" i="1" s="1"/>
  <c r="AD6" i="1"/>
  <c r="AF6" i="1" s="1"/>
  <c r="BB3" i="1"/>
  <c r="AA3" i="1"/>
  <c r="AV9" i="1"/>
  <c r="AT9" i="1"/>
  <c r="AN9" i="1"/>
  <c r="AL9" i="1"/>
  <c r="T9" i="1"/>
  <c r="R9" i="1"/>
  <c r="L9" i="1"/>
  <c r="J9" i="1"/>
  <c r="P13" i="1"/>
  <c r="N13" i="1" s="1"/>
  <c r="AZ5" i="1"/>
  <c r="AR5" i="1"/>
  <c r="P5" i="1"/>
  <c r="L5" i="1"/>
  <c r="T5" i="1"/>
  <c r="AN5" i="1"/>
  <c r="M13" i="1"/>
  <c r="Z5" i="2"/>
  <c r="Y5" i="2"/>
  <c r="W5" i="2"/>
  <c r="R5" i="2"/>
  <c r="P5" i="2" s="1"/>
  <c r="Q5" i="2"/>
  <c r="O5" i="2"/>
  <c r="AS4" i="2"/>
  <c r="AQ4" i="2" s="1"/>
  <c r="AR4" i="2"/>
  <c r="AP4" i="2"/>
  <c r="AK4" i="2"/>
  <c r="AJ4" i="2"/>
  <c r="AI4" i="2"/>
  <c r="AH4" i="2"/>
  <c r="Z4" i="2"/>
  <c r="Y4" i="2"/>
  <c r="X4" i="2"/>
  <c r="W4" i="2"/>
  <c r="R4" i="2"/>
  <c r="Q4" i="2"/>
  <c r="P4" i="2"/>
  <c r="O4" i="2"/>
  <c r="AR3" i="2"/>
  <c r="AQ3" i="2"/>
  <c r="AP3" i="2"/>
  <c r="AO3" i="2"/>
  <c r="AM3" i="2"/>
  <c r="AS3" i="2" s="1"/>
  <c r="AJ3" i="2"/>
  <c r="AH3" i="2"/>
  <c r="AG3" i="2"/>
  <c r="AK3" i="2" s="1"/>
  <c r="AE3" i="2"/>
  <c r="W3" i="2"/>
  <c r="Y3" i="2"/>
  <c r="V3" i="2"/>
  <c r="T3" i="2"/>
  <c r="Z3" i="2" s="1"/>
  <c r="Q3" i="2"/>
  <c r="O3" i="2"/>
  <c r="N3" i="2"/>
  <c r="R3" i="2" s="1"/>
  <c r="L3" i="2"/>
  <c r="C20" i="2"/>
  <c r="AG5" i="1" l="1"/>
  <c r="BH5" i="1"/>
  <c r="X3" i="2"/>
  <c r="P3" i="2"/>
  <c r="AI3" i="2"/>
  <c r="AZ6" i="1"/>
  <c r="AX6" i="1" s="1"/>
  <c r="AY6" i="1"/>
  <c r="AW6" i="1"/>
  <c r="AR6" i="1"/>
  <c r="AP6" i="1" s="1"/>
  <c r="AQ6" i="1"/>
  <c r="AO6" i="1"/>
  <c r="X6" i="1"/>
  <c r="V6" i="1" s="1"/>
  <c r="W6" i="1"/>
  <c r="U6" i="1"/>
  <c r="P6" i="1"/>
  <c r="N6" i="1" s="1"/>
  <c r="O6" i="1"/>
  <c r="M6" i="1" s="1"/>
  <c r="U4" i="1"/>
  <c r="AY11" i="1"/>
  <c r="AW11" i="1" s="1"/>
  <c r="AZ11" i="1"/>
  <c r="AX11" i="1" s="1"/>
  <c r="AO11" i="1"/>
  <c r="AQ11" i="1"/>
  <c r="AR11" i="1"/>
  <c r="AP11" i="1" s="1"/>
  <c r="W11" i="1"/>
  <c r="U11" i="1" s="1"/>
  <c r="X11" i="1"/>
  <c r="V11" i="1" s="1"/>
  <c r="P11" i="1"/>
  <c r="N11" i="1" s="1"/>
  <c r="O11" i="1"/>
  <c r="M11" i="1" s="1"/>
  <c r="AW10" i="1"/>
  <c r="AZ10" i="1"/>
  <c r="AX10" i="1" s="1"/>
  <c r="U10" i="1"/>
  <c r="X10" i="1"/>
  <c r="V10" i="1" s="1"/>
  <c r="AP10" i="1"/>
  <c r="AR10" i="1"/>
  <c r="N10" i="1"/>
  <c r="P10" i="1"/>
  <c r="AO13" i="1"/>
  <c r="AO12" i="1"/>
  <c r="AO14" i="1" s="1"/>
  <c r="AR13" i="1"/>
  <c r="AP13" i="1" s="1"/>
  <c r="AR12" i="1"/>
  <c r="M12" i="1"/>
  <c r="M14" i="1" s="1"/>
  <c r="P12" i="1"/>
  <c r="X13" i="1"/>
  <c r="X12" i="1"/>
  <c r="X14" i="1" s="1"/>
  <c r="AZ13" i="1"/>
  <c r="AZ12" i="1"/>
  <c r="AZ14" i="1" s="1"/>
  <c r="J13" i="1"/>
  <c r="J12" i="1"/>
  <c r="J14" i="1" s="1"/>
  <c r="AL13" i="1"/>
  <c r="AL14" i="1" s="1"/>
  <c r="AZ9" i="1"/>
  <c r="AX9" i="1" s="1"/>
  <c r="AY9" i="1"/>
  <c r="AW9" i="1" s="1"/>
  <c r="AZ7" i="1"/>
  <c r="AX7" i="1" s="1"/>
  <c r="AZ4" i="1"/>
  <c r="AX4" i="1" s="1"/>
  <c r="AY4" i="1"/>
  <c r="AR9" i="1"/>
  <c r="AP9" i="1" s="1"/>
  <c r="AQ9" i="1"/>
  <c r="AO9" i="1" s="1"/>
  <c r="W9" i="1"/>
  <c r="U9" i="1" s="1"/>
  <c r="W4" i="1"/>
  <c r="X9" i="1"/>
  <c r="V9" i="1" s="1"/>
  <c r="P9" i="1"/>
  <c r="N9" i="1" s="1"/>
  <c r="O9" i="1"/>
  <c r="M9" i="1" s="1"/>
  <c r="AW8" i="1"/>
  <c r="AX8" i="1"/>
  <c r="AR7" i="1"/>
  <c r="AP7" i="1" s="1"/>
  <c r="AO8" i="1"/>
  <c r="AR8" i="1"/>
  <c r="AP8" i="1" s="1"/>
  <c r="M8" i="1"/>
  <c r="P8" i="1"/>
  <c r="N8" i="1" s="1"/>
  <c r="U8" i="1"/>
  <c r="X8" i="1"/>
  <c r="V8" i="1" s="1"/>
  <c r="AO7" i="1"/>
  <c r="M7" i="1"/>
  <c r="P7" i="1"/>
  <c r="N7" i="1" s="1"/>
  <c r="AW7" i="1"/>
  <c r="X7" i="1"/>
  <c r="V7" i="1" s="1"/>
  <c r="U7" i="1"/>
  <c r="AR4" i="1"/>
  <c r="AP4" i="1" s="1"/>
  <c r="X4" i="1"/>
  <c r="V4" i="1" s="1"/>
  <c r="P4" i="1"/>
  <c r="N4" i="1" s="1"/>
  <c r="AW4" i="1"/>
  <c r="AQ4" i="1"/>
  <c r="AO4" i="1"/>
  <c r="O4" i="1"/>
  <c r="M4" i="1"/>
  <c r="AW5" i="1"/>
  <c r="AW3" i="1"/>
  <c r="AX5" i="1"/>
  <c r="AV5" i="1"/>
  <c r="AO5" i="1"/>
  <c r="AP5" i="1"/>
  <c r="U5" i="1"/>
  <c r="X5" i="1"/>
  <c r="V5" i="1" s="1"/>
  <c r="M5" i="1"/>
  <c r="N5" i="1"/>
  <c r="AZ3" i="1"/>
  <c r="AX3" i="1" s="1"/>
  <c r="AV3" i="1"/>
  <c r="AT3" i="1"/>
  <c r="AR3" i="1"/>
  <c r="AP3" i="1" s="1"/>
  <c r="AO3" i="1"/>
  <c r="AN3" i="1"/>
  <c r="X3" i="1"/>
  <c r="V3" i="1" s="1"/>
  <c r="U3" i="1"/>
  <c r="T3" i="1"/>
  <c r="R3" i="1"/>
  <c r="P3" i="1"/>
  <c r="N3" i="1" s="1"/>
  <c r="M3" i="1"/>
  <c r="L3" i="1"/>
  <c r="AL3" i="1"/>
  <c r="J3" i="1"/>
  <c r="N12" i="1" l="1"/>
  <c r="N14" i="1" s="1"/>
  <c r="P14" i="1"/>
  <c r="AP12" i="1"/>
  <c r="AP14" i="1" s="1"/>
  <c r="AR1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Ainhoa</author>
  </authors>
  <commentList>
    <comment ref="N3" authorId="0" shapeId="0" xr:uid="{E5ED7B24-6245-40B5-AF55-36D3DDB93583}">
      <text>
        <r>
          <rPr>
            <b/>
            <sz val="9"/>
            <color indexed="81"/>
            <rFont val="Tahoma"/>
            <family val="2"/>
          </rPr>
          <t>Ainhoa
I thought this was the pre SD</t>
        </r>
      </text>
    </comment>
    <comment ref="AN3" authorId="0" shapeId="0" xr:uid="{4DB0CFB9-B422-4048-BCB7-3420E6B37D0A}">
      <text>
        <r>
          <rPr>
            <b/>
            <sz val="9"/>
            <color rgb="FF000000"/>
            <rFont val="Tahoma"/>
            <family val="2"/>
          </rPr>
          <t>Ainhoa: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I've used the post as this is the final SD</t>
        </r>
      </text>
    </comment>
    <comment ref="L4" authorId="0" shapeId="0" xr:uid="{827FFEE3-D215-4AEE-B189-027F89F28A2C}">
      <text>
        <r>
          <rPr>
            <b/>
            <sz val="9"/>
            <color indexed="81"/>
            <rFont val="Tahoma"/>
            <family val="2"/>
          </rPr>
          <t>Ainhoa:</t>
        </r>
        <r>
          <rPr>
            <sz val="9"/>
            <color indexed="81"/>
            <rFont val="Tahoma"/>
            <family val="2"/>
          </rPr>
          <t xml:space="preserve">
these are results for INC, not for the LAGB</t>
        </r>
      </text>
    </comment>
    <comment ref="S4" authorId="0" shapeId="0" xr:uid="{8C3D789B-B742-41ED-BD75-D6EA0379A017}">
      <text>
        <r>
          <rPr>
            <b/>
            <sz val="9"/>
            <color rgb="FF000000"/>
            <rFont val="Tahoma"/>
            <family val="2"/>
          </rPr>
          <t>Ainhoa: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these are BMI units, I'll check you initial, maybe I changed by mistake?</t>
        </r>
      </text>
    </comment>
    <comment ref="G6" authorId="0" shapeId="0" xr:uid="{BA094532-D612-4098-8D6D-90CBD44BDF45}">
      <text>
        <r>
          <rPr>
            <b/>
            <sz val="9"/>
            <color rgb="FF000000"/>
            <rFont val="Tahoma"/>
            <family val="2"/>
          </rPr>
          <t>Ainhoa: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I've used the final N for the analysis at 18months</t>
        </r>
      </text>
    </comment>
    <comment ref="AZ8" authorId="0" shapeId="0" xr:uid="{650BB42B-4412-4C13-B594-EAE58E71400A}">
      <text>
        <r>
          <rPr>
            <b/>
            <sz val="9"/>
            <color rgb="FF000000"/>
            <rFont val="Tahoma"/>
            <family val="2"/>
          </rPr>
          <t>Ainhoa: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I see 2.0, not 2.0 as the SD of the SE</t>
        </r>
      </text>
    </comment>
    <comment ref="I12" authorId="0" shapeId="0" xr:uid="{27C89AD0-6315-4271-A4E4-BC50328D00A4}">
      <text>
        <r>
          <rPr>
            <b/>
            <sz val="9"/>
            <color rgb="FF000000"/>
            <rFont val="Tahoma"/>
            <family val="2"/>
          </rPr>
          <t>Ainhoa: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These are data from the cpap arm</t>
        </r>
      </text>
    </comment>
  </commentList>
</comments>
</file>

<file path=xl/sharedStrings.xml><?xml version="1.0" encoding="utf-8"?>
<sst xmlns="http://schemas.openxmlformats.org/spreadsheetml/2006/main" count="385" uniqueCount="197">
  <si>
    <t>1st Author</t>
  </si>
  <si>
    <t>Year</t>
  </si>
  <si>
    <t>DOI</t>
  </si>
  <si>
    <t>Intervention Type</t>
  </si>
  <si>
    <t>Intervention N</t>
  </si>
  <si>
    <t>Int-Baseline Weight (sd)</t>
  </si>
  <si>
    <t>Control Type</t>
  </si>
  <si>
    <t>Control N</t>
  </si>
  <si>
    <t>Control-Baseline Weight (sd)</t>
  </si>
  <si>
    <t>Control-Final Weight (sd)</t>
  </si>
  <si>
    <t>Furlan</t>
  </si>
  <si>
    <t>Study Category</t>
  </si>
  <si>
    <t>10.1038/s41366-021-00752-2</t>
  </si>
  <si>
    <t>Surgery</t>
  </si>
  <si>
    <t>Roux-En-Y Gastric Bypass</t>
  </si>
  <si>
    <t>Usual Care</t>
  </si>
  <si>
    <t>Int-Baseline AHI (mean)</t>
  </si>
  <si>
    <t>Int-Baseline AHI (sd)</t>
  </si>
  <si>
    <t xml:space="preserve">Int-Final AHI (mean) </t>
  </si>
  <si>
    <t>Int-Final AHI (sd)</t>
  </si>
  <si>
    <t>Control-Baseline AHI (sd)</t>
  </si>
  <si>
    <t>Control-Final AHI (sd)</t>
  </si>
  <si>
    <t>Control-mean AHI change (sd)</t>
  </si>
  <si>
    <t>Control-mean AHI change (%)</t>
  </si>
  <si>
    <t>10.1007/s11695-015-1627-5</t>
  </si>
  <si>
    <t>Feigel-Guiller</t>
  </si>
  <si>
    <t>Aguiar</t>
  </si>
  <si>
    <t>10.1186/2049-6958-9-43</t>
  </si>
  <si>
    <t>10.1001/2012.jama.11580</t>
  </si>
  <si>
    <t>Dixon</t>
  </si>
  <si>
    <t>Eskandri</t>
  </si>
  <si>
    <t>0.1183/09031936.00158413</t>
  </si>
  <si>
    <t>Medication</t>
  </si>
  <si>
    <t>Zonisamide</t>
  </si>
  <si>
    <t>Blackman</t>
  </si>
  <si>
    <t>10.1038/ijo.2016.52</t>
  </si>
  <si>
    <t>Liraglutide</t>
  </si>
  <si>
    <t>Tang</t>
  </si>
  <si>
    <t>10.1038/s41387-019-0098-5</t>
  </si>
  <si>
    <t>Dapagliflozin</t>
  </si>
  <si>
    <t>Dogan</t>
  </si>
  <si>
    <t>10.21203/rs.3.rs-1665063/v1</t>
  </si>
  <si>
    <t>Winslow</t>
  </si>
  <si>
    <t>10.5665/sleep.2204</t>
  </si>
  <si>
    <t>Phentermine/Topiramate</t>
  </si>
  <si>
    <t>Amin</t>
  </si>
  <si>
    <t>Clinical trials: MO1RR 08084-08</t>
  </si>
  <si>
    <t>Chen</t>
  </si>
  <si>
    <t>None</t>
  </si>
  <si>
    <t>Exenatide</t>
  </si>
  <si>
    <t>Sprung</t>
  </si>
  <si>
    <t>10. 1136/ bmjopen- 2020-</t>
  </si>
  <si>
    <t>Weight Unit</t>
  </si>
  <si>
    <t>BMI</t>
  </si>
  <si>
    <t>Follow-up Duration (months)</t>
  </si>
  <si>
    <t>Kg</t>
  </si>
  <si>
    <t>Notes:</t>
  </si>
  <si>
    <t xml:space="preserve">Int-mean AHI % change </t>
  </si>
  <si>
    <t>Control-mean AHI difference</t>
  </si>
  <si>
    <t>Control-mean AHI difference (sd)</t>
  </si>
  <si>
    <t xml:space="preserve"> Either reported, or calced from IQR using (75%-25%)/1.35</t>
  </si>
  <si>
    <t>Int mean difference  AHI</t>
  </si>
  <si>
    <t xml:space="preserve">Int-mean AHI %change (sd) </t>
  </si>
  <si>
    <t>Int mean difference AHI (sd)</t>
  </si>
  <si>
    <t>only initial weight presented in BMI</t>
  </si>
  <si>
    <t>Int-Baseline Weight (mean or median)</t>
  </si>
  <si>
    <t xml:space="preserve">Int-Final Weight (mean or median) </t>
  </si>
  <si>
    <t>Int-Final Weight (sd).</t>
  </si>
  <si>
    <t>Int-mean Weight % change</t>
  </si>
  <si>
    <t>Int-mean weight % change (sd)</t>
  </si>
  <si>
    <t>Int - mean weight difference</t>
  </si>
  <si>
    <t xml:space="preserve">Int - mean weight difference (SD) </t>
  </si>
  <si>
    <t>Control-Baseline Weight (mean or median)</t>
  </si>
  <si>
    <t xml:space="preserve">Control-Final weight (mean or median) </t>
  </si>
  <si>
    <t>Control-mean Weight change (%)</t>
  </si>
  <si>
    <t>Control-mean Weight change (sd)</t>
  </si>
  <si>
    <t>Control mean weight difference</t>
  </si>
  <si>
    <t>Control Weight difference (SD)</t>
  </si>
  <si>
    <t>Control-Baseline AHI (mean or median)</t>
  </si>
  <si>
    <t xml:space="preserve">Control-Final AHI (mean or median) </t>
  </si>
  <si>
    <t>Intensive Nutritional Care</t>
  </si>
  <si>
    <t>Conventional Weight loss program</t>
  </si>
  <si>
    <t>also presents data in Kg</t>
  </si>
  <si>
    <t>also presents data in Kg. Also outcomes available at 12 and 120 months</t>
  </si>
  <si>
    <t>Placebo</t>
  </si>
  <si>
    <t>also presents data in kg</t>
  </si>
  <si>
    <t>Glimiperide</t>
  </si>
  <si>
    <t>No treatment</t>
  </si>
  <si>
    <t>No treatment (cpap background)</t>
  </si>
  <si>
    <t>only initial weight presented in BMI, also present 4 week outcome</t>
  </si>
  <si>
    <t>Insulin</t>
  </si>
  <si>
    <t>Roux-en Y Gastric Bypass</t>
  </si>
  <si>
    <t>Medication: Other</t>
  </si>
  <si>
    <t>GLP-1 RA</t>
  </si>
  <si>
    <t>SGLT 2 Inhibitor</t>
  </si>
  <si>
    <t>Study Subcategory</t>
  </si>
  <si>
    <t>2022-No CPAP</t>
  </si>
  <si>
    <t>2022-CPAP</t>
  </si>
  <si>
    <t>Bakker</t>
  </si>
  <si>
    <t>10.1164/rccm.201708-1637LE</t>
  </si>
  <si>
    <t>Gastric Banding</t>
  </si>
  <si>
    <t>CPAP</t>
  </si>
  <si>
    <t>also presents data in KG</t>
  </si>
  <si>
    <t>Or median in cases where that is all that is presented</t>
  </si>
  <si>
    <t xml:space="preserve">calculated absolute SD, then divide by pre mean, then multiply by 100% </t>
  </si>
  <si>
    <t>Final - Baseline</t>
  </si>
  <si>
    <t>(when not present, assume r = 0.7 and used SDchange = sqrt (SD_baseline^2 +SD_final^2 − (2×r×SD_baseline ×SD_final ) as per references here https://www.researchgate.net/publication/358277371_The_Effects_of_Resistance_Training_on_Architecture_and_Volume_of_the_Upper_Extremity_Muscles_A_Systematic_Review_of_Randomised_Controlled_Trials_and_Meta-Analyses)</t>
  </si>
  <si>
    <t>(change/initial) * 100</t>
  </si>
  <si>
    <t>Red = excluded due to not having sufficient info</t>
  </si>
  <si>
    <t>yellow = enough data for some analyses. TODO: figure out how to statistically combine</t>
  </si>
  <si>
    <t>ROMANCE (Sprung)</t>
  </si>
  <si>
    <t>Journal</t>
  </si>
  <si>
    <t>International Journal of Obesity</t>
  </si>
  <si>
    <t>RYGB</t>
  </si>
  <si>
    <t xml:space="preserve">Inclusion criteria </t>
  </si>
  <si>
    <t>BMI:  30 - 39.9 kg/m2</t>
  </si>
  <si>
    <t>Usual care (nutritional, psychological, physical activity)</t>
  </si>
  <si>
    <t>Furlan SD</t>
  </si>
  <si>
    <t>Obesity Surgery</t>
  </si>
  <si>
    <t>BMIs &gt;35 kg/m2; nocturnal NIV treatment for OSA and/or obesity-hypoventilation syndrome (OHS).</t>
  </si>
  <si>
    <t>LAGB</t>
  </si>
  <si>
    <t>Intensive nutritional care</t>
  </si>
  <si>
    <t>Kilograms as weel and 12 and 120 months</t>
  </si>
  <si>
    <t>Multidisciplinary Respiratory Medicine</t>
  </si>
  <si>
    <t>BMI:  40 - 50 kg/m2, or BMI 35 - 39.9 kg/m2 + comorbidities</t>
  </si>
  <si>
    <t>Bariatric surgery</t>
  </si>
  <si>
    <t>Control</t>
  </si>
  <si>
    <t>less than 12 months</t>
  </si>
  <si>
    <t>Kg as well</t>
  </si>
  <si>
    <t>Jama</t>
  </si>
  <si>
    <t>35 to 55, apnea-hypopnea index (AHI)
of 20 events/hour +CPAP</t>
  </si>
  <si>
    <t>Dietary, physical activity, and behavioral programs</t>
  </si>
  <si>
    <t>28.4 to 50.5</t>
  </si>
  <si>
    <t>99-116</t>
  </si>
  <si>
    <t>39.9 to 51.9</t>
  </si>
  <si>
    <t>also initial BMI, CI95%</t>
  </si>
  <si>
    <t>BMI 35–45 kg/m2, OSA AHI &gt; 30 events/h</t>
  </si>
  <si>
    <t>American Journal of Respiratory and Critical Care Medicine</t>
  </si>
  <si>
    <t>LGB</t>
  </si>
  <si>
    <t>they alsohave data in kilograms and provide 9 months results</t>
  </si>
  <si>
    <t>AHI&gt;15 events/h, BMI 27 - 35 kg/m-2 ESS &gt;6</t>
  </si>
  <si>
    <t>leep</t>
  </si>
  <si>
    <t>//-8.7 (-16.5- -0.89) CI95%</t>
  </si>
  <si>
    <t>4.0 (-5.6–13.7)</t>
  </si>
  <si>
    <t>(-57.7- -27.3)</t>
  </si>
  <si>
    <t>0.3-1,.2</t>
  </si>
  <si>
    <t>(-1.2-0.0)</t>
  </si>
  <si>
    <t>49.0±27.5</t>
  </si>
  <si>
    <t>Also, Kilograms as body weight</t>
  </si>
  <si>
    <t>Nutrition and Diabetes</t>
  </si>
  <si>
    <t>2mg of glimepiride/24h</t>
  </si>
  <si>
    <t>Sleep</t>
  </si>
  <si>
    <t>Dapaglifozin</t>
  </si>
  <si>
    <t>Phentermine+topiramate</t>
  </si>
  <si>
    <t>35.3`</t>
  </si>
  <si>
    <t>Also kg</t>
  </si>
  <si>
    <t>Trial register</t>
  </si>
  <si>
    <t>Liraglutifed+CAPA</t>
  </si>
  <si>
    <t>Kilograms</t>
  </si>
  <si>
    <t>10.4 - 2.35</t>
  </si>
  <si>
    <t>//-6.275--2.6</t>
  </si>
  <si>
    <t>105.09 (93.7-115.2)</t>
  </si>
  <si>
    <t>106.9 (93.6-124.4)</t>
  </si>
  <si>
    <t xml:space="preserve"> sd = IQR / 1.35   as per https://handbook-5-1.cochrane.org/chapter_7/7_7_3_5_mediansand_interquartile_ranges.htm#:~:text=Interquartile%20ranges%20describe%20where%20the,be%20approximately%201.35%20standard%20deviations. </t>
  </si>
  <si>
    <t xml:space="preserve">sd = IQR / 1.35; sd = sqrt(n) * 95CI / 3.92 also used. </t>
  </si>
  <si>
    <t>sd = sqrt(n) * 95CI / 3.92 also used.  https://handbook-5-1.cochrane.org/chapter_7/7_7_3_2_obtaining_standard_deviations_from_standard_errors_and.htm</t>
  </si>
  <si>
    <t>A vs C</t>
  </si>
  <si>
    <t>B vs D; CPAP background factorial arm</t>
  </si>
  <si>
    <t>Reports Pre- Sleepiness?</t>
  </si>
  <si>
    <t>yes, ESS</t>
  </si>
  <si>
    <t>yes, ess</t>
  </si>
  <si>
    <t>no</t>
  </si>
  <si>
    <t>will be reported</t>
  </si>
  <si>
    <t>Int Baseline ESS</t>
  </si>
  <si>
    <t>Int Baseline ESS SD</t>
  </si>
  <si>
    <t>Int Final ESS</t>
  </si>
  <si>
    <t>Int Final ESS SD</t>
  </si>
  <si>
    <t>Int ESS Diff</t>
  </si>
  <si>
    <t>Int ESS Diff SD</t>
  </si>
  <si>
    <t>Int ESS Change</t>
  </si>
  <si>
    <t>Int ESS Change SD</t>
  </si>
  <si>
    <t>Control ESS Baseline</t>
  </si>
  <si>
    <t>Control ESS Baseline SD</t>
  </si>
  <si>
    <t>Control ESS Final</t>
  </si>
  <si>
    <t>Control ESS Final SD</t>
  </si>
  <si>
    <t>Control ESS Diff</t>
  </si>
  <si>
    <t>Control ESS Diff SD</t>
  </si>
  <si>
    <t>Control ESS Change</t>
  </si>
  <si>
    <t>Control ESS Change SD</t>
  </si>
  <si>
    <t>ROMANCE</t>
  </si>
  <si>
    <t>NO CPAP ARM</t>
  </si>
  <si>
    <t>CPAP ARM</t>
  </si>
  <si>
    <t>Combined, used combined_mean = (mean1+mean2)/2 because N's equal. For SD, used https://www.brainkart.com/article/Combined-Mean-and-Combined-Standard-Deviation_35098/</t>
  </si>
  <si>
    <t>RoB</t>
  </si>
  <si>
    <t>0=low; 1=mod; 2=high</t>
  </si>
  <si>
    <t>`</t>
  </si>
  <si>
    <t>Eskandari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</si>
</sst>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Helvetica"/>
      <family val="2"/>
    </font>
    <font>
      <sz val="12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1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9933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49" fontId="1" fillId="0" borderId="0" xfId="0" applyNumberFormat="1" applyFont="1" applyAlignment="1">
      <alignment vertical="top" wrapText="1"/>
    </xf>
    <xf numFmtId="49" fontId="1" fillId="8" borderId="0" xfId="0" applyNumberFormat="1" applyFont="1" applyFill="1" applyAlignment="1">
      <alignment vertical="top" wrapText="1"/>
    </xf>
    <xf numFmtId="49" fontId="1" fillId="5" borderId="0" xfId="0" applyNumberFormat="1" applyFont="1" applyFill="1" applyAlignment="1">
      <alignment vertical="top" wrapText="1"/>
    </xf>
    <xf numFmtId="49" fontId="0" fillId="0" borderId="0" xfId="0" applyNumberFormat="1" applyAlignment="1">
      <alignment vertical="top" wrapTex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64" fontId="0" fillId="6" borderId="0" xfId="0" applyNumberFormat="1" applyFill="1" applyAlignment="1">
      <alignment vertical="top"/>
    </xf>
    <xf numFmtId="0" fontId="0" fillId="2" borderId="0" xfId="0" applyFill="1" applyAlignment="1">
      <alignment vertical="top"/>
    </xf>
    <xf numFmtId="0" fontId="3" fillId="0" borderId="0" xfId="0" applyFont="1" applyAlignment="1">
      <alignment vertical="top"/>
    </xf>
    <xf numFmtId="0" fontId="0" fillId="9" borderId="0" xfId="0" applyFill="1" applyAlignment="1">
      <alignment vertical="top"/>
    </xf>
    <xf numFmtId="164" fontId="0" fillId="9" borderId="0" xfId="0" applyNumberFormat="1" applyFill="1" applyAlignment="1">
      <alignment vertical="top"/>
    </xf>
    <xf numFmtId="164" fontId="2" fillId="9" borderId="0" xfId="0" applyNumberFormat="1" applyFont="1" applyFill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164" fontId="0" fillId="10" borderId="0" xfId="0" applyNumberFormat="1" applyFill="1" applyAlignment="1">
      <alignment vertical="top"/>
    </xf>
    <xf numFmtId="0" fontId="3" fillId="0" borderId="0" xfId="0" applyFont="1" applyAlignment="1">
      <alignment vertical="top" wrapText="1"/>
    </xf>
    <xf numFmtId="164" fontId="2" fillId="0" borderId="0" xfId="0" applyNumberFormat="1" applyFont="1" applyAlignment="1">
      <alignment vertical="top"/>
    </xf>
    <xf numFmtId="0" fontId="4" fillId="11" borderId="0" xfId="0" applyFont="1" applyFill="1" applyAlignment="1">
      <alignment vertical="top"/>
    </xf>
    <xf numFmtId="0" fontId="0" fillId="11" borderId="0" xfId="0" applyFill="1" applyAlignment="1">
      <alignment vertical="top"/>
    </xf>
    <xf numFmtId="2" fontId="1" fillId="0" borderId="0" xfId="0" applyNumberFormat="1" applyFont="1" applyAlignment="1">
      <alignment wrapText="1"/>
    </xf>
    <xf numFmtId="2" fontId="1" fillId="8" borderId="0" xfId="0" applyNumberFormat="1" applyFont="1" applyFill="1" applyAlignment="1">
      <alignment wrapText="1"/>
    </xf>
    <xf numFmtId="2" fontId="1" fillId="5" borderId="0" xfId="0" applyNumberFormat="1" applyFont="1" applyFill="1" applyAlignment="1">
      <alignment wrapText="1"/>
    </xf>
    <xf numFmtId="2" fontId="0" fillId="0" borderId="0" xfId="0" applyNumberFormat="1" applyAlignment="1">
      <alignment vertical="top" wrapText="1"/>
    </xf>
    <xf numFmtId="2" fontId="0" fillId="0" borderId="0" xfId="0" applyNumberFormat="1"/>
    <xf numFmtId="2" fontId="0" fillId="0" borderId="0" xfId="0" applyNumberFormat="1" applyAlignment="1">
      <alignment vertical="top"/>
    </xf>
    <xf numFmtId="2" fontId="0" fillId="6" borderId="0" xfId="0" applyNumberFormat="1" applyFill="1"/>
    <xf numFmtId="2" fontId="0" fillId="7" borderId="0" xfId="0" applyNumberFormat="1" applyFill="1"/>
    <xf numFmtId="2" fontId="0" fillId="2" borderId="0" xfId="0" applyNumberFormat="1" applyFill="1"/>
    <xf numFmtId="2" fontId="2" fillId="0" borderId="0" xfId="0" applyNumberFormat="1" applyFont="1"/>
    <xf numFmtId="2" fontId="0" fillId="4" borderId="0" xfId="0" applyNumberFormat="1" applyFill="1"/>
    <xf numFmtId="2" fontId="0" fillId="3" borderId="0" xfId="0" applyNumberFormat="1" applyFill="1"/>
    <xf numFmtId="1" fontId="1" fillId="8" borderId="0" xfId="0" applyNumberFormat="1" applyFont="1" applyFill="1" applyAlignment="1">
      <alignment wrapText="1"/>
    </xf>
    <xf numFmtId="1" fontId="0" fillId="0" borderId="0" xfId="0" applyNumberFormat="1" applyAlignment="1">
      <alignment vertical="top" wrapText="1"/>
    </xf>
    <xf numFmtId="1" fontId="0" fillId="0" borderId="0" xfId="0" applyNumberFormat="1"/>
    <xf numFmtId="1" fontId="1" fillId="5" borderId="0" xfId="0" applyNumberFormat="1" applyFont="1" applyFill="1" applyAlignment="1">
      <alignment wrapText="1"/>
    </xf>
    <xf numFmtId="2" fontId="0" fillId="12" borderId="0" xfId="0" applyNumberFormat="1" applyFill="1"/>
    <xf numFmtId="1" fontId="1" fillId="0" borderId="0" xfId="0" applyNumberFormat="1" applyFont="1" applyAlignment="1">
      <alignment wrapText="1"/>
    </xf>
    <xf numFmtId="1" fontId="0" fillId="3" borderId="0" xfId="0" applyNumberFormat="1" applyFill="1"/>
    <xf numFmtId="2" fontId="0" fillId="13" borderId="0" xfId="0" applyNumberFormat="1" applyFill="1"/>
    <xf numFmtId="2" fontId="1" fillId="6" borderId="0" xfId="0" applyNumberFormat="1" applyFont="1" applyFill="1" applyAlignment="1">
      <alignment wrapText="1"/>
    </xf>
    <xf numFmtId="2" fontId="1" fillId="15" borderId="0" xfId="0" applyNumberFormat="1" applyFont="1" applyFill="1" applyAlignment="1">
      <alignment wrapText="1"/>
    </xf>
    <xf numFmtId="2" fontId="1" fillId="16" borderId="0" xfId="0" applyNumberFormat="1" applyFont="1" applyFill="1" applyAlignment="1">
      <alignment wrapText="1"/>
    </xf>
    <xf numFmtId="2" fontId="1" fillId="14" borderId="0" xfId="0" applyNumberFormat="1" applyFont="1" applyFill="1" applyAlignment="1">
      <alignment wrapText="1"/>
    </xf>
    <xf numFmtId="2" fontId="0" fillId="16" borderId="0" xfId="0" applyNumberFormat="1" applyFill="1"/>
    <xf numFmtId="1" fontId="0" fillId="16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CC"/>
      <color rgb="FF99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21</xdr:row>
      <xdr:rowOff>0</xdr:rowOff>
    </xdr:from>
    <xdr:to>
      <xdr:col>2</xdr:col>
      <xdr:colOff>958850</xdr:colOff>
      <xdr:row>22</xdr:row>
      <xdr:rowOff>31750</xdr:rowOff>
    </xdr:to>
    <xdr:pic>
      <xdr:nvPicPr>
        <xdr:cNvPr id="2" name="Picture 1" descr="https://handbook-5-1.cochrane.org/chapter_7/image014.gif">
          <a:extLst>
            <a:ext uri="{FF2B5EF4-FFF2-40B4-BE49-F238E27FC236}">
              <a16:creationId xmlns:a16="http://schemas.microsoft.com/office/drawing/2014/main" id="{98AF3053-23E9-43B4-8793-F2DF301658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8900" y="7296150"/>
          <a:ext cx="23368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AB476-2EDD-8A46-A9C7-A0E8A3EB7A0F}">
  <dimension ref="A1:BL17"/>
  <sheetViews>
    <sheetView tabSelected="1" zoomScale="90" zoomScaleNormal="90" workbookViewId="0">
      <pane xSplit="1" topLeftCell="B1" activePane="topRight" state="frozen"/>
      <selection pane="topRight" activeCell="B11" sqref="B11"/>
    </sheetView>
  </sheetViews>
  <sheetFormatPr baseColWidth="10" defaultColWidth="10.6640625" defaultRowHeight="16" x14ac:dyDescent="0.2"/>
  <cols>
    <col min="1" max="1" width="10.6640625" style="24"/>
    <col min="2" max="2" width="10.6640625" style="34"/>
    <col min="3" max="3" width="29" style="24" customWidth="1"/>
    <col min="4" max="4" width="29" style="25" customWidth="1"/>
    <col min="5" max="5" width="10.6640625" style="24"/>
    <col min="6" max="6" width="21.6640625" style="24" customWidth="1"/>
    <col min="7" max="7" width="21.6640625" style="25" customWidth="1"/>
    <col min="8" max="8" width="16.5" style="24" customWidth="1"/>
    <col min="9" max="9" width="21.33203125" style="34" customWidth="1"/>
    <col min="10" max="10" width="18.83203125" style="24" customWidth="1"/>
    <col min="11" max="11" width="21.1640625" style="24" customWidth="1"/>
    <col min="12" max="12" width="16.33203125" style="24" customWidth="1"/>
    <col min="13" max="13" width="17" style="24" customWidth="1"/>
    <col min="14" max="15" width="22.1640625" style="24" customWidth="1"/>
    <col min="16" max="16" width="15.5" style="24" customWidth="1"/>
    <col min="17" max="17" width="18.33203125" style="24" customWidth="1"/>
    <col min="18" max="18" width="43" style="24" customWidth="1"/>
    <col min="19" max="19" width="15" style="24" customWidth="1"/>
    <col min="20" max="20" width="17.1640625" style="24" customWidth="1"/>
    <col min="21" max="21" width="15.5" style="24" customWidth="1"/>
    <col min="22" max="22" width="10.6640625" style="24"/>
    <col min="23" max="23" width="19.1640625" style="24" customWidth="1"/>
    <col min="24" max="25" width="10.6640625" style="24"/>
    <col min="26" max="26" width="19.5" style="24" customWidth="1"/>
    <col min="27" max="27" width="10.6640625" style="24"/>
    <col min="28" max="28" width="10.6640625" style="34"/>
    <col min="29" max="34" width="10.6640625" style="24"/>
    <col min="35" max="35" width="20.83203125" style="24" customWidth="1"/>
    <col min="36" max="36" width="10.6640625" style="24"/>
    <col min="37" max="37" width="15.5" style="24" customWidth="1"/>
    <col min="38" max="45" width="10.6640625" style="24"/>
    <col min="46" max="46" width="10.6640625" style="34"/>
    <col min="47" max="16384" width="10.6640625" style="24"/>
  </cols>
  <sheetData>
    <row r="1" spans="1:64" s="20" customFormat="1" ht="85" x14ac:dyDescent="0.2">
      <c r="A1" s="20" t="s">
        <v>0</v>
      </c>
      <c r="B1" s="37" t="s">
        <v>1</v>
      </c>
      <c r="C1" s="20" t="s">
        <v>2</v>
      </c>
      <c r="D1" s="20" t="s">
        <v>11</v>
      </c>
      <c r="E1" s="20" t="s">
        <v>95</v>
      </c>
      <c r="F1" s="21" t="s">
        <v>3</v>
      </c>
      <c r="G1" s="32" t="s">
        <v>4</v>
      </c>
      <c r="H1" s="21" t="s">
        <v>52</v>
      </c>
      <c r="I1" s="21" t="s">
        <v>65</v>
      </c>
      <c r="J1" s="21" t="s">
        <v>5</v>
      </c>
      <c r="K1" s="21" t="s">
        <v>66</v>
      </c>
      <c r="L1" s="21" t="s">
        <v>67</v>
      </c>
      <c r="M1" s="21" t="s">
        <v>68</v>
      </c>
      <c r="N1" s="21" t="s">
        <v>69</v>
      </c>
      <c r="O1" s="21" t="s">
        <v>70</v>
      </c>
      <c r="P1" s="21" t="s">
        <v>71</v>
      </c>
      <c r="Q1" s="41" t="s">
        <v>16</v>
      </c>
      <c r="R1" s="41" t="s">
        <v>17</v>
      </c>
      <c r="S1" s="41" t="s">
        <v>18</v>
      </c>
      <c r="T1" s="41" t="s">
        <v>19</v>
      </c>
      <c r="U1" s="41" t="s">
        <v>57</v>
      </c>
      <c r="V1" s="41" t="s">
        <v>62</v>
      </c>
      <c r="W1" s="41" t="s">
        <v>61</v>
      </c>
      <c r="X1" s="41" t="s">
        <v>63</v>
      </c>
      <c r="Y1" s="41" t="s">
        <v>168</v>
      </c>
      <c r="Z1" s="40" t="s">
        <v>173</v>
      </c>
      <c r="AA1" s="40" t="s">
        <v>174</v>
      </c>
      <c r="AB1" s="40" t="s">
        <v>175</v>
      </c>
      <c r="AC1" s="40" t="s">
        <v>176</v>
      </c>
      <c r="AD1" s="40" t="s">
        <v>177</v>
      </c>
      <c r="AE1" s="40" t="s">
        <v>178</v>
      </c>
      <c r="AF1" s="40" t="s">
        <v>179</v>
      </c>
      <c r="AG1" s="40" t="s">
        <v>180</v>
      </c>
      <c r="AH1" s="22" t="s">
        <v>6</v>
      </c>
      <c r="AI1" s="35" t="s">
        <v>7</v>
      </c>
      <c r="AJ1" s="22" t="s">
        <v>52</v>
      </c>
      <c r="AK1" s="22" t="s">
        <v>72</v>
      </c>
      <c r="AL1" s="22" t="s">
        <v>8</v>
      </c>
      <c r="AM1" s="22" t="s">
        <v>73</v>
      </c>
      <c r="AN1" s="22" t="s">
        <v>9</v>
      </c>
      <c r="AO1" s="22" t="s">
        <v>74</v>
      </c>
      <c r="AP1" s="22" t="s">
        <v>75</v>
      </c>
      <c r="AQ1" s="22" t="s">
        <v>76</v>
      </c>
      <c r="AR1" s="22" t="s">
        <v>77</v>
      </c>
      <c r="AS1" s="42" t="s">
        <v>78</v>
      </c>
      <c r="AT1" s="42" t="s">
        <v>20</v>
      </c>
      <c r="AU1" s="42" t="s">
        <v>79</v>
      </c>
      <c r="AV1" s="42" t="s">
        <v>21</v>
      </c>
      <c r="AW1" s="42" t="s">
        <v>23</v>
      </c>
      <c r="AX1" s="42" t="s">
        <v>22</v>
      </c>
      <c r="AY1" s="42" t="s">
        <v>58</v>
      </c>
      <c r="AZ1" s="42" t="s">
        <v>59</v>
      </c>
      <c r="BA1" s="43" t="s">
        <v>181</v>
      </c>
      <c r="BB1" s="43" t="s">
        <v>182</v>
      </c>
      <c r="BC1" s="43" t="s">
        <v>183</v>
      </c>
      <c r="BD1" s="43" t="s">
        <v>184</v>
      </c>
      <c r="BE1" s="43" t="s">
        <v>185</v>
      </c>
      <c r="BF1" s="43" t="s">
        <v>186</v>
      </c>
      <c r="BG1" s="43" t="s">
        <v>187</v>
      </c>
      <c r="BH1" s="43" t="s">
        <v>188</v>
      </c>
      <c r="BI1" s="37" t="s">
        <v>54</v>
      </c>
      <c r="BJ1" s="37" t="s">
        <v>193</v>
      </c>
      <c r="BK1" s="20" t="s">
        <v>56</v>
      </c>
    </row>
    <row r="2" spans="1:64" s="23" customFormat="1" ht="145" customHeight="1" x14ac:dyDescent="0.2">
      <c r="B2" s="33"/>
      <c r="E2" s="23" t="s">
        <v>108</v>
      </c>
      <c r="F2" s="23" t="s">
        <v>109</v>
      </c>
      <c r="G2" s="33">
        <f>SUM(G3:G13)</f>
        <v>429</v>
      </c>
      <c r="I2" s="23" t="s">
        <v>103</v>
      </c>
      <c r="J2" s="23" t="s">
        <v>60</v>
      </c>
      <c r="M2" s="23" t="s">
        <v>107</v>
      </c>
      <c r="N2" s="23" t="s">
        <v>104</v>
      </c>
      <c r="O2" s="23" t="s">
        <v>105</v>
      </c>
      <c r="P2" s="23" t="s">
        <v>106</v>
      </c>
      <c r="X2" s="23" t="s">
        <v>106</v>
      </c>
      <c r="AI2" s="33">
        <f>SUM(AI3:AI13)</f>
        <v>414</v>
      </c>
      <c r="AN2" s="23" t="s">
        <v>164</v>
      </c>
      <c r="AP2" s="23" t="s">
        <v>106</v>
      </c>
      <c r="AR2" s="23" t="s">
        <v>106</v>
      </c>
      <c r="AZ2" s="23" t="s">
        <v>106</v>
      </c>
      <c r="BI2" s="33">
        <f>MEDIAN(BI3:BI12)</f>
        <v>13</v>
      </c>
      <c r="BJ2" s="33" t="s">
        <v>194</v>
      </c>
    </row>
    <row r="3" spans="1:64" x14ac:dyDescent="0.2">
      <c r="A3" s="24" t="s">
        <v>10</v>
      </c>
      <c r="B3" s="34">
        <v>2021</v>
      </c>
      <c r="C3" s="24" t="s">
        <v>12</v>
      </c>
      <c r="D3" s="24" t="s">
        <v>13</v>
      </c>
      <c r="E3" s="24" t="s">
        <v>91</v>
      </c>
      <c r="F3" s="24" t="s">
        <v>14</v>
      </c>
      <c r="G3" s="34">
        <v>24</v>
      </c>
      <c r="H3" s="24" t="s">
        <v>53</v>
      </c>
      <c r="I3" s="24">
        <v>36.700000000000003</v>
      </c>
      <c r="J3" s="24">
        <f>(37.7-35.9)/1.35</f>
        <v>1.3333333333333364</v>
      </c>
      <c r="K3" s="24">
        <v>26.4</v>
      </c>
      <c r="L3" s="24">
        <f>(27.7-23.6)/1.35</f>
        <v>3.0370370370370354</v>
      </c>
      <c r="M3" s="31">
        <f>100*(-10.6/36.7)</f>
        <v>-28.882833787465938</v>
      </c>
      <c r="N3" s="31">
        <f t="shared" ref="N3:N9" si="0">100*(P3)/I3</f>
        <v>7.0642849934403058</v>
      </c>
      <c r="O3" s="31">
        <v>-10.6</v>
      </c>
      <c r="P3" s="31">
        <f>(-9.2+12.7)/1.35</f>
        <v>2.5925925925925926</v>
      </c>
      <c r="Q3" s="24">
        <v>18.7</v>
      </c>
      <c r="R3" s="24">
        <f>(27.8-12.4)/1.35</f>
        <v>11.407407407407407</v>
      </c>
      <c r="S3" s="24">
        <v>3.2</v>
      </c>
      <c r="T3" s="24">
        <f>(5-1.5)/1.35</f>
        <v>2.5925925925925926</v>
      </c>
      <c r="U3" s="31">
        <f>100*(-13.2/18.7)</f>
        <v>-70.588235294117638</v>
      </c>
      <c r="V3" s="31">
        <f>100*(X3)/Q3</f>
        <v>62.190532778768066</v>
      </c>
      <c r="W3" s="31">
        <v>-13.2</v>
      </c>
      <c r="X3" s="31">
        <f>(-7+22.7)/1.35</f>
        <v>11.629629629629628</v>
      </c>
      <c r="Y3" s="39" t="s">
        <v>169</v>
      </c>
      <c r="Z3" s="24">
        <v>8.5</v>
      </c>
      <c r="AA3" s="24">
        <f>(12-6)/1.35</f>
        <v>4.4444444444444438</v>
      </c>
      <c r="AB3" s="45"/>
      <c r="AC3" s="44"/>
      <c r="AD3" s="44"/>
      <c r="AE3" s="44"/>
      <c r="AF3" s="44"/>
      <c r="AG3" s="44"/>
      <c r="AH3" s="24" t="s">
        <v>15</v>
      </c>
      <c r="AI3" s="34">
        <v>13</v>
      </c>
      <c r="AJ3" s="24" t="s">
        <v>53</v>
      </c>
      <c r="AK3" s="24">
        <v>37.1</v>
      </c>
      <c r="AL3" s="24">
        <f>(38.7-36.3)/1.35</f>
        <v>1.7777777777777819</v>
      </c>
      <c r="AM3" s="24">
        <v>38.1</v>
      </c>
      <c r="AN3" s="31">
        <f>(38.7-36.3)/1.35</f>
        <v>1.7777777777777819</v>
      </c>
      <c r="AO3" s="31">
        <f>100*(1.7/37.1)</f>
        <v>4.5822102425876006</v>
      </c>
      <c r="AP3" s="31">
        <f>100*(AR3)/AK3</f>
        <v>16.372167315563548</v>
      </c>
      <c r="AQ3" s="31">
        <v>1.7</v>
      </c>
      <c r="AR3" s="31">
        <f>(41.7-33.5)/1.35</f>
        <v>6.0740740740740762</v>
      </c>
      <c r="AS3" s="24">
        <v>13.2</v>
      </c>
      <c r="AT3" s="24">
        <f>(39.9-6.7)/1.35</f>
        <v>24.592592592592588</v>
      </c>
      <c r="AU3" s="24">
        <v>17.7</v>
      </c>
      <c r="AV3" s="24">
        <f>(29-14.2)/1.35</f>
        <v>10.962962962962962</v>
      </c>
      <c r="AW3" s="31">
        <f>100*(AY3/AS3)</f>
        <v>37.878787878787875</v>
      </c>
      <c r="AX3" s="31">
        <f>100*(AZ3)/AS3</f>
        <v>94.837261503928161</v>
      </c>
      <c r="AY3" s="31">
        <v>5</v>
      </c>
      <c r="AZ3" s="31">
        <f>(12.7+4.2)/1.35</f>
        <v>12.518518518518517</v>
      </c>
      <c r="BA3" s="24">
        <v>7</v>
      </c>
      <c r="BB3" s="24">
        <f>(8-6)/1.35</f>
        <v>1.4814814814814814</v>
      </c>
      <c r="BC3" s="44"/>
      <c r="BD3" s="44"/>
      <c r="BE3" s="44"/>
      <c r="BF3" s="44"/>
      <c r="BG3" s="44"/>
      <c r="BH3" s="44"/>
      <c r="BI3" s="34">
        <v>36</v>
      </c>
      <c r="BJ3" s="34">
        <v>2</v>
      </c>
      <c r="BK3" s="24" t="s">
        <v>163</v>
      </c>
    </row>
    <row r="4" spans="1:64" x14ac:dyDescent="0.2">
      <c r="A4" s="24" t="s">
        <v>25</v>
      </c>
      <c r="B4" s="34">
        <v>2015</v>
      </c>
      <c r="C4" s="24" t="s">
        <v>24</v>
      </c>
      <c r="D4" s="24" t="s">
        <v>13</v>
      </c>
      <c r="E4" s="24" t="s">
        <v>100</v>
      </c>
      <c r="F4" s="24" t="s">
        <v>100</v>
      </c>
      <c r="G4" s="34">
        <v>30</v>
      </c>
      <c r="H4" s="24" t="s">
        <v>53</v>
      </c>
      <c r="I4" s="24">
        <v>48.8</v>
      </c>
      <c r="J4" s="24">
        <v>9.9</v>
      </c>
      <c r="K4" s="24">
        <v>42.2</v>
      </c>
      <c r="L4" s="24">
        <v>9.9</v>
      </c>
      <c r="M4" s="26">
        <f>100*(K4-I4)/I4</f>
        <v>-13.524590163934416</v>
      </c>
      <c r="N4" s="31">
        <f t="shared" si="0"/>
        <v>15.714153740759604</v>
      </c>
      <c r="O4" s="24">
        <f>K4-I4</f>
        <v>-6.5999999999999943</v>
      </c>
      <c r="P4" s="24">
        <f>SQRT(J4^2 + L4^2 - (2 * 0.7 *J4 * L4))</f>
        <v>7.668507025490686</v>
      </c>
      <c r="Q4" s="24">
        <v>56.5</v>
      </c>
      <c r="R4" s="24">
        <v>24.9</v>
      </c>
      <c r="S4" s="24">
        <v>40.700000000000003</v>
      </c>
      <c r="T4" s="24">
        <v>23.8</v>
      </c>
      <c r="U4" s="26">
        <f>100*(S4-Q4)/Q4</f>
        <v>-27.9646017699115</v>
      </c>
      <c r="V4" s="31">
        <f>100*X4/Q4</f>
        <v>33.431281159265772</v>
      </c>
      <c r="W4" s="24">
        <f>S4-Q4</f>
        <v>-15.799999999999997</v>
      </c>
      <c r="X4" s="24">
        <f>SQRT(R4^2 + T4^2 - (2 * 0.7 *R4 * T4))</f>
        <v>18.888673854985161</v>
      </c>
      <c r="Y4" s="39" t="s">
        <v>171</v>
      </c>
      <c r="Z4" s="44"/>
      <c r="AA4" s="44"/>
      <c r="AB4" s="45"/>
      <c r="AC4" s="44"/>
      <c r="AD4" s="44"/>
      <c r="AE4" s="44"/>
      <c r="AF4" s="44"/>
      <c r="AG4" s="44"/>
      <c r="AH4" s="24" t="s">
        <v>80</v>
      </c>
      <c r="AI4" s="34">
        <v>33</v>
      </c>
      <c r="AJ4" s="24" t="s">
        <v>53</v>
      </c>
      <c r="AK4" s="24">
        <v>44.4</v>
      </c>
      <c r="AL4" s="24">
        <v>9</v>
      </c>
      <c r="AM4" s="24">
        <v>43.5</v>
      </c>
      <c r="AN4" s="24">
        <v>12.2</v>
      </c>
      <c r="AO4" s="27">
        <f>100*(AM4-AK4)/AK4</f>
        <v>-2.0270270270270241</v>
      </c>
      <c r="AP4" s="31">
        <f>100*AR4/AK4</f>
        <v>19.650174874943453</v>
      </c>
      <c r="AQ4" s="24">
        <f>AM4-AK4</f>
        <v>-0.89999999999999858</v>
      </c>
      <c r="AR4" s="24">
        <f>SQRT(AL4^2 + AN4^2 - (2 * 0.7 *AL4 * AN4))</f>
        <v>8.7246776444748928</v>
      </c>
      <c r="AS4" s="24">
        <v>46.3</v>
      </c>
      <c r="AT4" s="24">
        <v>25.3</v>
      </c>
      <c r="AU4" s="24">
        <v>43.5</v>
      </c>
      <c r="AV4" s="24">
        <v>28.7</v>
      </c>
      <c r="AW4" s="27">
        <f>100*(AU4-AS4)/AU4</f>
        <v>-6.4367816091953953</v>
      </c>
      <c r="AX4" s="31">
        <f>100*AZ4/AS4</f>
        <v>45.675418041194995</v>
      </c>
      <c r="AY4" s="24">
        <f>AU4-AS4</f>
        <v>-2.7999999999999972</v>
      </c>
      <c r="AZ4" s="24">
        <f>SQRT(AT4^2 + AV4^2 - (2 * 0.7 *AV4 * AT4))</f>
        <v>21.147718553073283</v>
      </c>
      <c r="BA4" s="44"/>
      <c r="BB4" s="44"/>
      <c r="BC4" s="44"/>
      <c r="BD4" s="44"/>
      <c r="BE4" s="44"/>
      <c r="BF4" s="44"/>
      <c r="BG4" s="44"/>
      <c r="BH4" s="44"/>
      <c r="BI4" s="34">
        <v>36</v>
      </c>
      <c r="BJ4" s="34">
        <v>2</v>
      </c>
      <c r="BK4" s="24" t="s">
        <v>83</v>
      </c>
    </row>
    <row r="5" spans="1:64" x14ac:dyDescent="0.2">
      <c r="A5" s="24" t="s">
        <v>29</v>
      </c>
      <c r="B5" s="34">
        <v>2012</v>
      </c>
      <c r="C5" s="24" t="s">
        <v>28</v>
      </c>
      <c r="D5" s="24" t="s">
        <v>13</v>
      </c>
      <c r="E5" s="24" t="s">
        <v>100</v>
      </c>
      <c r="F5" s="24" t="s">
        <v>100</v>
      </c>
      <c r="G5" s="38">
        <v>30</v>
      </c>
      <c r="H5" s="24" t="s">
        <v>55</v>
      </c>
      <c r="I5" s="24">
        <v>134.9</v>
      </c>
      <c r="J5" s="24">
        <v>22.1</v>
      </c>
      <c r="K5" s="24">
        <v>107</v>
      </c>
      <c r="L5" s="31">
        <f>SQRT(G5)*(116-99)/3.92</f>
        <v>23.753274177519959</v>
      </c>
      <c r="M5" s="31">
        <f>100*O5/I5</f>
        <v>-20.607857672349887</v>
      </c>
      <c r="N5" s="31">
        <f t="shared" si="0"/>
        <v>14.397179220665743</v>
      </c>
      <c r="O5" s="31">
        <v>-27.8</v>
      </c>
      <c r="P5" s="31">
        <f>SQRT(G5)*(-20.8+34.7)/3.92</f>
        <v>19.421794768678087</v>
      </c>
      <c r="Q5" s="24">
        <v>65</v>
      </c>
      <c r="R5" s="24">
        <v>32.799999999999997</v>
      </c>
      <c r="S5" s="24">
        <v>39.5</v>
      </c>
      <c r="T5" s="31">
        <f>SQRT(G5)*(50.5 - 28.4)/3.92</f>
        <v>30.87925643077595</v>
      </c>
      <c r="U5" s="31">
        <f>100*W5/Q5</f>
        <v>-39.230769230769234</v>
      </c>
      <c r="V5" s="31">
        <f>100*(X5)/Q5</f>
        <v>25.641025641025642</v>
      </c>
      <c r="W5" s="24">
        <v>-25.5</v>
      </c>
      <c r="X5" s="31">
        <f>(-14.2+36.7)/1.35</f>
        <v>16.666666666666668</v>
      </c>
      <c r="Y5" s="39" t="s">
        <v>169</v>
      </c>
      <c r="Z5" s="24">
        <f>AB5-AD5</f>
        <v>13.2</v>
      </c>
      <c r="AB5" s="24">
        <v>6.4</v>
      </c>
      <c r="AC5" s="24">
        <f>SQRT(G5)*(8.1-4.7)/3.92</f>
        <v>4.7506548355039913</v>
      </c>
      <c r="AD5" s="24">
        <v>-6.8</v>
      </c>
      <c r="AE5" s="24">
        <f>SQRT(G5)*(-4.2+9.4)/3.92</f>
        <v>7.265707395476694</v>
      </c>
      <c r="AF5" s="24">
        <f>100*AD5/Z5</f>
        <v>-51.515151515151516</v>
      </c>
      <c r="AG5" s="24">
        <f>100*AE5/Z5</f>
        <v>55.043237844520412</v>
      </c>
      <c r="AH5" s="24" t="s">
        <v>81</v>
      </c>
      <c r="AI5" s="38">
        <v>30</v>
      </c>
      <c r="AJ5" s="24" t="s">
        <v>55</v>
      </c>
      <c r="AK5" s="24">
        <v>126</v>
      </c>
      <c r="AL5" s="24">
        <v>19.3</v>
      </c>
      <c r="AM5" s="24">
        <v>121</v>
      </c>
      <c r="AN5" s="24">
        <f>SQRT(AI5)*(129-113)/3.92</f>
        <v>22.356022755312903</v>
      </c>
      <c r="AO5" s="27">
        <f>100*AQ5/AK5</f>
        <v>-4.0476190476190474</v>
      </c>
      <c r="AP5" s="27">
        <f>100*(AR5)/AK5</f>
        <v>9.4259024513968104</v>
      </c>
      <c r="AQ5" s="24">
        <v>-5.0999999999999996</v>
      </c>
      <c r="AR5" s="31">
        <f>SQRT(AI5) *(-0.8+9.3)/3.92</f>
        <v>11.876637088759979</v>
      </c>
      <c r="AS5" s="24">
        <v>57.2</v>
      </c>
      <c r="AT5" s="24">
        <v>30.3</v>
      </c>
      <c r="AU5" s="24">
        <v>43.2</v>
      </c>
      <c r="AV5" s="31">
        <f>(51.9-34.9)/1.35</f>
        <v>12.592592592592592</v>
      </c>
      <c r="AW5" s="27">
        <f>100*(AY5/AS5)</f>
        <v>-24.475524475524473</v>
      </c>
      <c r="AX5" s="27">
        <f>100*(AZ5)/AS5</f>
        <v>52.030516246521508</v>
      </c>
      <c r="AY5" s="24">
        <v>-14</v>
      </c>
      <c r="AZ5" s="31">
        <f>SQRT(AI5)*(-3.3+24.6)/3.92</f>
        <v>29.761455293010304</v>
      </c>
      <c r="BA5" s="24">
        <f>BC5-BE5</f>
        <v>12.4</v>
      </c>
      <c r="BC5" s="24">
        <v>8.8000000000000007</v>
      </c>
      <c r="BD5" s="24">
        <f>SQRT(AI5)*(11-6.5)/3.92</f>
        <v>6.2876313999317546</v>
      </c>
      <c r="BE5" s="24">
        <v>-3.6</v>
      </c>
      <c r="BF5" s="24">
        <f>SQRT(AI5)*(-1.2+6)/3.92</f>
        <v>6.7068068265938701</v>
      </c>
      <c r="BG5" s="24">
        <f>100*BE5/BA5</f>
        <v>-29.032258064516128</v>
      </c>
      <c r="BH5" s="24">
        <f>100*BF5/BA5</f>
        <v>54.087151827369915</v>
      </c>
      <c r="BI5" s="34">
        <v>24</v>
      </c>
      <c r="BJ5" s="34">
        <v>1</v>
      </c>
      <c r="BK5" s="28" t="s">
        <v>64</v>
      </c>
      <c r="BL5" s="24" t="s">
        <v>165</v>
      </c>
    </row>
    <row r="6" spans="1:64" x14ac:dyDescent="0.2">
      <c r="A6" s="24" t="s">
        <v>98</v>
      </c>
      <c r="B6" s="34">
        <v>2017</v>
      </c>
      <c r="C6" s="24" t="s">
        <v>99</v>
      </c>
      <c r="D6" s="24" t="s">
        <v>13</v>
      </c>
      <c r="E6" s="24" t="s">
        <v>100</v>
      </c>
      <c r="F6" s="24" t="s">
        <v>100</v>
      </c>
      <c r="G6" s="34">
        <v>24</v>
      </c>
      <c r="H6" s="24" t="s">
        <v>53</v>
      </c>
      <c r="I6" s="24">
        <v>39.1</v>
      </c>
      <c r="J6" s="24">
        <v>2.9</v>
      </c>
      <c r="K6" s="24">
        <v>35.700000000000003</v>
      </c>
      <c r="L6" s="24">
        <v>3.9</v>
      </c>
      <c r="M6" s="26">
        <f>100*O6/I6</f>
        <v>-8.6956521739130395</v>
      </c>
      <c r="N6" s="36">
        <f t="shared" si="0"/>
        <v>7.1364206675616586</v>
      </c>
      <c r="O6" s="24">
        <f>K6-I6</f>
        <v>-3.3999999999999986</v>
      </c>
      <c r="P6" s="24">
        <f>SQRT(J6^2 + L6^2 - (2 * 0.7 *J6 * L6))</f>
        <v>2.7903404810166088</v>
      </c>
      <c r="Q6" s="24">
        <v>51.5</v>
      </c>
      <c r="R6" s="24">
        <v>23.5</v>
      </c>
      <c r="S6" s="24">
        <v>34.1</v>
      </c>
      <c r="T6" s="24">
        <v>24.6</v>
      </c>
      <c r="U6" s="26">
        <f>100*(S6-Q6)/Q6</f>
        <v>-33.786407766990287</v>
      </c>
      <c r="V6" s="26">
        <f>100*X6/Q6</f>
        <v>36.226474191794374</v>
      </c>
      <c r="W6" s="24">
        <f>S6-Q6</f>
        <v>-17.399999999999999</v>
      </c>
      <c r="X6" s="24">
        <f>SQRT(R6^2 + T6^2 - (2 * 0.7 *R6 * T6))</f>
        <v>18.656634208774101</v>
      </c>
      <c r="Y6" s="39" t="s">
        <v>169</v>
      </c>
      <c r="Z6" s="24">
        <v>10.4</v>
      </c>
      <c r="AA6" s="24">
        <v>4.2</v>
      </c>
      <c r="AB6" s="34">
        <v>8</v>
      </c>
      <c r="AC6" s="24">
        <v>4.5</v>
      </c>
      <c r="AD6" s="24">
        <f>AB6-Z6</f>
        <v>-2.4000000000000004</v>
      </c>
      <c r="AE6" s="24">
        <f>SQRT(AA6^2 +AC6^2 - (2 * 0.7 *AA6 *ACT6))</f>
        <v>6.1554853586049569</v>
      </c>
      <c r="AF6" s="24">
        <f t="shared" ref="AF6:AF10" si="1">100*AD6/Z6</f>
        <v>-23.07692307692308</v>
      </c>
      <c r="AG6" s="24">
        <f t="shared" ref="AG6:AG10" si="2">100*AE6/Z6</f>
        <v>59.18735921735535</v>
      </c>
      <c r="AH6" s="24" t="s">
        <v>101</v>
      </c>
      <c r="AI6" s="34">
        <v>16</v>
      </c>
      <c r="AJ6" s="24" t="s">
        <v>53</v>
      </c>
      <c r="AK6" s="24">
        <v>38.700000000000003</v>
      </c>
      <c r="AL6" s="24">
        <v>3.1</v>
      </c>
      <c r="AM6" s="24">
        <v>37.4</v>
      </c>
      <c r="AN6" s="24">
        <v>4.5</v>
      </c>
      <c r="AO6" s="27">
        <f>100*(AM6-AK6)/AK6</f>
        <v>-3.3591731266149978</v>
      </c>
      <c r="AP6" s="27">
        <f>100*(AR6)/AK6</f>
        <v>8.3049915658853717</v>
      </c>
      <c r="AQ6" s="24">
        <f>AM6-AK6</f>
        <v>-1.3000000000000043</v>
      </c>
      <c r="AR6" s="24">
        <f>SQRT(AL6^2 + AN6^2 - (2 * 0.7 *AL6 * AN6))</f>
        <v>3.2140317359976391</v>
      </c>
      <c r="AS6" s="24">
        <v>47.5</v>
      </c>
      <c r="AT6" s="24">
        <v>31.5</v>
      </c>
      <c r="AU6" s="24">
        <v>36.4</v>
      </c>
      <c r="AV6" s="24">
        <v>23.2</v>
      </c>
      <c r="AW6" s="27">
        <f>100*(AU6-AS6)/AU6</f>
        <v>-30.494505494505503</v>
      </c>
      <c r="AX6" s="27">
        <f>100*AZ6/AS6</f>
        <v>47.420789765028786</v>
      </c>
      <c r="AY6" s="24">
        <f>AU6-AS6</f>
        <v>-11.100000000000001</v>
      </c>
      <c r="AZ6" s="24">
        <f>SQRT(AT6^2 + AV6^2 - (2 * 0.7 *AV6 * AT6))</f>
        <v>22.524875138388673</v>
      </c>
      <c r="BA6" s="24">
        <v>9.8000000000000007</v>
      </c>
      <c r="BB6" s="24">
        <v>5</v>
      </c>
      <c r="BC6" s="24">
        <v>6.2</v>
      </c>
      <c r="BD6" s="24">
        <v>3.7</v>
      </c>
      <c r="BE6" s="24">
        <f>BC6-BA6</f>
        <v>-3.6000000000000005</v>
      </c>
      <c r="BF6" s="24">
        <f>SQRT(BB6^2 +BD6^2 - (2 * 0.7 *BB6 *BD6))</f>
        <v>3.5763109484495326</v>
      </c>
      <c r="BG6" s="24">
        <f t="shared" ref="BG6:BG10" si="3">100*BE6/BA6</f>
        <v>-36.734693877551024</v>
      </c>
      <c r="BH6" s="24">
        <f t="shared" ref="BH6:BH10" si="4">100*BF6/BA6</f>
        <v>36.492968861729921</v>
      </c>
      <c r="BI6" s="34">
        <v>18</v>
      </c>
      <c r="BJ6" s="34">
        <v>1</v>
      </c>
      <c r="BK6" s="28" t="s">
        <v>102</v>
      </c>
    </row>
    <row r="7" spans="1:64" x14ac:dyDescent="0.2">
      <c r="A7" s="24" t="s">
        <v>196</v>
      </c>
      <c r="B7" s="34">
        <v>2013</v>
      </c>
      <c r="C7" s="24" t="s">
        <v>31</v>
      </c>
      <c r="D7" s="24" t="s">
        <v>32</v>
      </c>
      <c r="E7" s="24" t="s">
        <v>92</v>
      </c>
      <c r="F7" s="24" t="s">
        <v>33</v>
      </c>
      <c r="G7" s="34">
        <v>13</v>
      </c>
      <c r="H7" s="24" t="s">
        <v>53</v>
      </c>
      <c r="I7" s="24">
        <v>31</v>
      </c>
      <c r="J7" s="24">
        <v>3</v>
      </c>
      <c r="K7" s="24">
        <f>I7+O7</f>
        <v>30.8</v>
      </c>
      <c r="M7" s="26">
        <f>100*O7/I7</f>
        <v>-0.64516129032258063</v>
      </c>
      <c r="N7" s="31">
        <f t="shared" si="0"/>
        <v>1.1868174046951909</v>
      </c>
      <c r="O7" s="24">
        <v>-0.2</v>
      </c>
      <c r="P7" s="24">
        <f>SQRT(G7)*(0+0.4)/3.92</f>
        <v>0.36791339545550916</v>
      </c>
      <c r="Q7" s="24">
        <v>42</v>
      </c>
      <c r="R7" s="24">
        <v>24</v>
      </c>
      <c r="S7" s="24">
        <f>Q7+W7</f>
        <v>33.299999999999997</v>
      </c>
      <c r="U7" s="26">
        <f>100*W7/Q7</f>
        <v>-20.714285714285712</v>
      </c>
      <c r="V7" s="31">
        <f>100*(X7)/Q7</f>
        <v>34.163386720868701</v>
      </c>
      <c r="W7" s="24">
        <v>-8.6999999999999993</v>
      </c>
      <c r="X7" s="24">
        <f>SQRT(G7)*(-0.9+16.5)/3.92</f>
        <v>14.348622422764853</v>
      </c>
      <c r="Y7" s="39" t="s">
        <v>170</v>
      </c>
      <c r="Z7" s="24">
        <v>13</v>
      </c>
      <c r="AA7" s="24">
        <v>6</v>
      </c>
      <c r="AB7" s="34">
        <f>Z7+AD7</f>
        <v>14.4</v>
      </c>
      <c r="AD7" s="24">
        <v>1.4</v>
      </c>
      <c r="AE7" s="24">
        <f xml:space="preserve"> SQRT(G7) * (3.4+0.6) / 3.92</f>
        <v>3.6791339545550912</v>
      </c>
      <c r="AF7" s="24">
        <f t="shared" si="1"/>
        <v>10.76923076923077</v>
      </c>
      <c r="AG7" s="24">
        <f t="shared" si="2"/>
        <v>28.301030419654545</v>
      </c>
      <c r="AH7" s="24" t="s">
        <v>84</v>
      </c>
      <c r="AI7" s="34">
        <v>15</v>
      </c>
      <c r="AJ7" s="24" t="s">
        <v>53</v>
      </c>
      <c r="AK7" s="24">
        <v>31</v>
      </c>
      <c r="AL7" s="24">
        <v>2</v>
      </c>
      <c r="AM7" s="24">
        <f>AK7+AQ7</f>
        <v>31.2</v>
      </c>
      <c r="AO7" s="27">
        <f>100*AQ7/AK7</f>
        <v>0.64516129032258063</v>
      </c>
      <c r="AP7" s="27">
        <f>100*(AR7)/AK7</f>
        <v>1.2748463944066546</v>
      </c>
      <c r="AQ7" s="24">
        <v>0.2</v>
      </c>
      <c r="AR7" s="29">
        <f>SQRT(AI7)*(0+0.4)/3.92</f>
        <v>0.39520238226606297</v>
      </c>
      <c r="AS7" s="24">
        <v>50</v>
      </c>
      <c r="AT7" s="24">
        <v>23</v>
      </c>
      <c r="AU7" s="24">
        <f>AS7+AY7</f>
        <v>54</v>
      </c>
      <c r="AW7" s="27">
        <f>100*(AY7/AS7)</f>
        <v>8</v>
      </c>
      <c r="AX7" s="31">
        <f>100*(AZ7)/AS7</f>
        <v>38.137029888675073</v>
      </c>
      <c r="AY7" s="24">
        <v>4</v>
      </c>
      <c r="AZ7" s="24">
        <f>SQRT(AI7)*(13.7+5.6)/3.92</f>
        <v>19.068514944337537</v>
      </c>
      <c r="BA7" s="24">
        <v>12</v>
      </c>
      <c r="BB7" s="24">
        <v>4</v>
      </c>
      <c r="BC7" s="24">
        <f>BA7+BE7</f>
        <v>11.7</v>
      </c>
      <c r="BE7" s="24">
        <v>-0.3</v>
      </c>
      <c r="BF7" s="24">
        <f>SQRT(AI7)*(1.6+2.3)/3.92</f>
        <v>3.853223227094114</v>
      </c>
      <c r="BG7" s="24">
        <f t="shared" si="3"/>
        <v>-2.5</v>
      </c>
      <c r="BH7" s="24">
        <f t="shared" si="4"/>
        <v>32.110193559117619</v>
      </c>
      <c r="BI7" s="34">
        <v>1</v>
      </c>
      <c r="BJ7" s="34">
        <v>0</v>
      </c>
    </row>
    <row r="8" spans="1:64" x14ac:dyDescent="0.2">
      <c r="A8" s="24" t="s">
        <v>34</v>
      </c>
      <c r="B8" s="34">
        <v>2016</v>
      </c>
      <c r="C8" s="24" t="s">
        <v>35</v>
      </c>
      <c r="D8" s="24" t="s">
        <v>32</v>
      </c>
      <c r="E8" s="24" t="s">
        <v>93</v>
      </c>
      <c r="F8" s="24" t="s">
        <v>36</v>
      </c>
      <c r="G8" s="34">
        <v>180</v>
      </c>
      <c r="H8" s="24" t="s">
        <v>53</v>
      </c>
      <c r="I8" s="24">
        <v>38.9</v>
      </c>
      <c r="J8" s="24">
        <v>6.4</v>
      </c>
      <c r="K8" s="24">
        <f>I8+O8</f>
        <v>36.699999999999996</v>
      </c>
      <c r="M8" s="26">
        <f>100*O8/I8</f>
        <v>-5.6555269922879186</v>
      </c>
      <c r="N8" s="26">
        <f t="shared" si="0"/>
        <v>6.8978960745494815</v>
      </c>
      <c r="O8" s="24">
        <v>-2.2000000000000002</v>
      </c>
      <c r="P8" s="24">
        <f>SQRT(G8) * 0.2</f>
        <v>2.6832815729997481</v>
      </c>
      <c r="Q8" s="24">
        <v>49</v>
      </c>
      <c r="R8" s="24">
        <v>27.5</v>
      </c>
      <c r="S8" s="24">
        <f>Q8+W8</f>
        <v>36.799999999999997</v>
      </c>
      <c r="U8" s="26">
        <f>100*W8/Q8</f>
        <v>-24.897959183673468</v>
      </c>
      <c r="V8" s="26">
        <f>100*(X8)/Q8</f>
        <v>49.284763585709662</v>
      </c>
      <c r="W8" s="24">
        <v>-12.2</v>
      </c>
      <c r="X8" s="24">
        <f>SQRT(G8) * 1.8</f>
        <v>24.149534156997731</v>
      </c>
      <c r="Y8" s="39" t="s">
        <v>170</v>
      </c>
      <c r="Z8" s="24">
        <v>9.1999999999999993</v>
      </c>
      <c r="AA8" s="24">
        <v>5.0999999999999996</v>
      </c>
      <c r="AB8" s="34">
        <f>Z8+AD8</f>
        <v>6.6999999999999993</v>
      </c>
      <c r="AD8" s="24">
        <v>-2.5</v>
      </c>
      <c r="AE8" s="24">
        <f>SQRT(G8)*0.3</f>
        <v>4.0249223594996213</v>
      </c>
      <c r="AF8" s="24">
        <f t="shared" si="1"/>
        <v>-27.173913043478262</v>
      </c>
      <c r="AG8" s="24">
        <f t="shared" si="2"/>
        <v>43.749156081517626</v>
      </c>
      <c r="AH8" s="24" t="s">
        <v>84</v>
      </c>
      <c r="AI8" s="34">
        <v>179</v>
      </c>
      <c r="AJ8" s="24" t="s">
        <v>53</v>
      </c>
      <c r="AK8" s="24">
        <v>39.4</v>
      </c>
      <c r="AL8" s="24">
        <v>7.4</v>
      </c>
      <c r="AM8" s="24">
        <f>AK8+AQ8</f>
        <v>38.799999999999997</v>
      </c>
      <c r="AO8" s="27">
        <f>100*AQ8/AK8</f>
        <v>-1.5228426395939088</v>
      </c>
      <c r="AP8" s="27">
        <f>100*(AR8)/AK8</f>
        <v>3.3957076548882368</v>
      </c>
      <c r="AQ8" s="24">
        <v>-0.6</v>
      </c>
      <c r="AR8" s="24">
        <f>SQRT(AI8)*0.1</f>
        <v>1.3379088160259653</v>
      </c>
      <c r="AS8" s="31">
        <v>39.4</v>
      </c>
      <c r="AT8" s="31">
        <v>7.4</v>
      </c>
      <c r="AU8" s="24">
        <f>AS8+AY8</f>
        <v>33.299999999999997</v>
      </c>
      <c r="AW8" s="36">
        <f>100*(AY8/AS8)</f>
        <v>-15.482233502538071</v>
      </c>
      <c r="AX8" s="27">
        <f>100*(AZ8)/AS8</f>
        <v>67.914153097764739</v>
      </c>
      <c r="AY8" s="24">
        <v>-6.1</v>
      </c>
      <c r="AZ8" s="36">
        <f>SQRT(AI8)*2</f>
        <v>26.758176320519304</v>
      </c>
      <c r="BA8" s="24">
        <v>10.3</v>
      </c>
      <c r="BB8" s="24">
        <v>5.4</v>
      </c>
      <c r="BC8" s="24">
        <f>BA8+BE8</f>
        <v>8</v>
      </c>
      <c r="BE8" s="24">
        <v>-2.2999999999999998</v>
      </c>
      <c r="BF8" s="24">
        <f>SQRT(AI8)*0.3</f>
        <v>4.0137264480778958</v>
      </c>
      <c r="BG8" s="24">
        <f t="shared" si="3"/>
        <v>-22.330097087378636</v>
      </c>
      <c r="BH8" s="24">
        <f t="shared" si="4"/>
        <v>38.968217942503841</v>
      </c>
      <c r="BI8" s="34">
        <v>8</v>
      </c>
      <c r="BJ8" s="34">
        <v>0</v>
      </c>
      <c r="BK8" s="24" t="s">
        <v>82</v>
      </c>
    </row>
    <row r="9" spans="1:64" x14ac:dyDescent="0.2">
      <c r="A9" s="24" t="s">
        <v>37</v>
      </c>
      <c r="B9" s="34">
        <v>2019</v>
      </c>
      <c r="C9" s="24" t="s">
        <v>38</v>
      </c>
      <c r="D9" s="24" t="s">
        <v>32</v>
      </c>
      <c r="E9" s="24" t="s">
        <v>94</v>
      </c>
      <c r="F9" s="24" t="s">
        <v>39</v>
      </c>
      <c r="G9" s="34">
        <v>18</v>
      </c>
      <c r="H9" s="24" t="s">
        <v>53</v>
      </c>
      <c r="I9" s="24">
        <v>28.17</v>
      </c>
      <c r="J9" s="24">
        <f>SQRT(G9)*1.21</f>
        <v>5.1335952314143345</v>
      </c>
      <c r="K9" s="24">
        <v>25.92</v>
      </c>
      <c r="L9" s="24">
        <f>SQRT(G9)*0.92</f>
        <v>3.9032294321497423</v>
      </c>
      <c r="M9" s="26">
        <f>100*O9/I9</f>
        <v>-7.9872204472843444</v>
      </c>
      <c r="N9" s="26">
        <f t="shared" si="0"/>
        <v>13.060629237847358</v>
      </c>
      <c r="O9" s="24">
        <f>K9-I9</f>
        <v>-2.25</v>
      </c>
      <c r="P9" s="24">
        <f>SQRT(J9^2 + L9^2 - (2 * 0.7 *J9 * L9))</f>
        <v>3.6791792563016008</v>
      </c>
      <c r="Q9" s="24">
        <v>37.450000000000003</v>
      </c>
      <c r="R9" s="24">
        <f>SQRT(G9)*6.04</f>
        <v>25.625549750200481</v>
      </c>
      <c r="S9" s="24">
        <v>26.72</v>
      </c>
      <c r="T9" s="24">
        <f>SQRT(G9)*4.69</f>
        <v>19.897984822589446</v>
      </c>
      <c r="U9" s="26">
        <f>100*W9/Q9</f>
        <v>-28.651535380507354</v>
      </c>
      <c r="V9" s="26">
        <f>100*(X9)/Q9</f>
        <v>49.145458818719497</v>
      </c>
      <c r="W9" s="24">
        <f>S9-Q9</f>
        <v>-10.730000000000004</v>
      </c>
      <c r="X9" s="24">
        <f>SQRT(R9^2 + T9^2 - (2 * 0.7 *R9 * T9))</f>
        <v>18.404974327610454</v>
      </c>
      <c r="Y9" s="39" t="s">
        <v>170</v>
      </c>
      <c r="Z9" s="24">
        <v>11.83</v>
      </c>
      <c r="AA9" s="24">
        <f>3.76</f>
        <v>3.76</v>
      </c>
      <c r="AB9" s="34">
        <v>9.0500000000000007</v>
      </c>
      <c r="AC9" s="24">
        <v>2.75</v>
      </c>
      <c r="AD9" s="24">
        <f>AB9-Z9</f>
        <v>-2.7799999999999994</v>
      </c>
      <c r="AE9" s="24">
        <f>SQRT(AA9^2 +AC9^2 - (2 * 0.7 *AA9 *ACT9))</f>
        <v>4.6583366129982489</v>
      </c>
      <c r="AF9" s="24">
        <f t="shared" si="1"/>
        <v>-23.499577345731186</v>
      </c>
      <c r="AG9" s="24">
        <f t="shared" si="2"/>
        <v>39.37731710057691</v>
      </c>
      <c r="AH9" s="24" t="s">
        <v>86</v>
      </c>
      <c r="AI9" s="34">
        <v>18</v>
      </c>
      <c r="AJ9" s="24" t="s">
        <v>53</v>
      </c>
      <c r="AK9" s="24">
        <v>28.04</v>
      </c>
      <c r="AL9" s="24">
        <f>SQRT(AI9)*1.19</f>
        <v>5.0487424176719484</v>
      </c>
      <c r="AM9" s="24">
        <v>27.04</v>
      </c>
      <c r="AN9" s="24">
        <f>SQRT(AI9)*1.11</f>
        <v>4.7093311627024068</v>
      </c>
      <c r="AO9" s="27">
        <f>100*AQ9/AK9</f>
        <v>-3.566333808844508</v>
      </c>
      <c r="AP9" s="27">
        <f>100*(AR9)/AK9</f>
        <v>13.524316505506414</v>
      </c>
      <c r="AQ9" s="24">
        <f>AM9-AK9</f>
        <v>-1</v>
      </c>
      <c r="AR9" s="24">
        <f>SQRT(AL9^2 + AN9^2 - (2 * 0.7 *AL9 * AN9))</f>
        <v>3.7922183481439986</v>
      </c>
      <c r="AS9" s="24">
        <v>38.11</v>
      </c>
      <c r="AT9" s="24">
        <f>SQRT(AI9)*6.27</f>
        <v>26.601357108237913</v>
      </c>
      <c r="AU9" s="24">
        <v>36.1</v>
      </c>
      <c r="AV9" s="24">
        <f>SQRT(AI9)*4.5</f>
        <v>19.091883092036781</v>
      </c>
      <c r="AW9" s="27">
        <f>100*(AY9/AS9)</f>
        <v>-5.2742062450800269</v>
      </c>
      <c r="AX9" s="27">
        <f>100*(AZ9)/AS9</f>
        <v>49.863566060145949</v>
      </c>
      <c r="AY9" s="24">
        <f>AU9-AS9</f>
        <v>-2.009999999999998</v>
      </c>
      <c r="AZ9" s="24">
        <f>SQRT(AT9^2 + AV9^2 - (2 * 0.7 *AV9 * AT9))</f>
        <v>19.00300502552162</v>
      </c>
      <c r="BA9" s="24">
        <v>12.5</v>
      </c>
      <c r="BB9" s="24">
        <v>3.79</v>
      </c>
      <c r="BC9" s="24">
        <v>12.11</v>
      </c>
      <c r="BD9" s="24">
        <v>3.16</v>
      </c>
      <c r="BE9" s="24">
        <f>BC9-BA9</f>
        <v>-0.39000000000000057</v>
      </c>
      <c r="BF9" s="24">
        <f>SQRT(BB9^2 +BD9^2 - (2 * 0.7 *BB9 *BD9))</f>
        <v>2.7536775410348979</v>
      </c>
      <c r="BG9" s="24">
        <f t="shared" si="3"/>
        <v>-3.1200000000000045</v>
      </c>
      <c r="BH9" s="24">
        <f t="shared" si="4"/>
        <v>22.029420328279183</v>
      </c>
      <c r="BI9" s="34">
        <v>6</v>
      </c>
      <c r="BJ9" s="34">
        <v>1</v>
      </c>
      <c r="BK9" s="24" t="s">
        <v>85</v>
      </c>
    </row>
    <row r="10" spans="1:64" x14ac:dyDescent="0.2">
      <c r="A10" s="24" t="s">
        <v>42</v>
      </c>
      <c r="B10" s="34">
        <v>2010</v>
      </c>
      <c r="C10" s="24" t="s">
        <v>43</v>
      </c>
      <c r="D10" s="24" t="s">
        <v>32</v>
      </c>
      <c r="E10" s="24" t="s">
        <v>92</v>
      </c>
      <c r="F10" s="24" t="s">
        <v>44</v>
      </c>
      <c r="G10" s="34">
        <v>22</v>
      </c>
      <c r="H10" s="24" t="s">
        <v>55</v>
      </c>
      <c r="I10" s="24">
        <v>103.7</v>
      </c>
      <c r="J10" s="24">
        <v>14.56</v>
      </c>
      <c r="K10" s="24">
        <f>I10+O10</f>
        <v>92.7</v>
      </c>
      <c r="M10" s="26">
        <v>-10.3</v>
      </c>
      <c r="N10" s="31">
        <f>SQRT(G10)*1.17</f>
        <v>5.4877864389934121</v>
      </c>
      <c r="O10" s="24">
        <v>-11</v>
      </c>
      <c r="P10" s="24">
        <f>SQRT(G10)*1.24</f>
        <v>5.8161155421810529</v>
      </c>
      <c r="Q10" s="24">
        <v>44.2</v>
      </c>
      <c r="R10" s="24">
        <v>22.4</v>
      </c>
      <c r="S10" s="24">
        <f>Q10+W10</f>
        <v>12.700000000000003</v>
      </c>
      <c r="U10" s="26">
        <f>100*W10/Q10</f>
        <v>-71.266968325791851</v>
      </c>
      <c r="V10" s="26">
        <f>100*(X10)/Q10</f>
        <v>45.100151536763747</v>
      </c>
      <c r="W10" s="24">
        <v>-31.5</v>
      </c>
      <c r="X10" s="24">
        <f>SQRT(G10)*4.25</f>
        <v>19.934266979249575</v>
      </c>
      <c r="Y10" s="39" t="s">
        <v>170</v>
      </c>
      <c r="Z10" s="24">
        <v>10.5</v>
      </c>
      <c r="AA10" s="24">
        <v>5.42</v>
      </c>
      <c r="AB10" s="34">
        <f>Z10+AD10</f>
        <v>8.6</v>
      </c>
      <c r="AD10" s="24">
        <v>-1.9</v>
      </c>
      <c r="AE10" s="24">
        <f>SQRT(G10)*(2.8-1)/3.92</f>
        <v>2.153762338694432</v>
      </c>
      <c r="AF10" s="24">
        <f t="shared" si="1"/>
        <v>-18.095238095238095</v>
      </c>
      <c r="AG10" s="24">
        <f t="shared" si="2"/>
        <v>20.512022273280305</v>
      </c>
      <c r="AH10" s="24" t="s">
        <v>84</v>
      </c>
      <c r="AI10" s="34">
        <v>23</v>
      </c>
      <c r="AJ10" s="24" t="s">
        <v>55</v>
      </c>
      <c r="AK10" s="24">
        <v>106.9</v>
      </c>
      <c r="AL10" s="24">
        <v>16.649999999999999</v>
      </c>
      <c r="AM10" s="24">
        <f>AK10+AQ10</f>
        <v>102.4</v>
      </c>
      <c r="AO10" s="27">
        <v>-4.2</v>
      </c>
      <c r="AP10" s="27">
        <f>SQRT(AI10)*1.15</f>
        <v>5.5152062518096265</v>
      </c>
      <c r="AQ10" s="24">
        <v>-4.5</v>
      </c>
      <c r="AR10" s="24">
        <f>SQRT(AI10)*1.21</f>
        <v>5.80295614320839</v>
      </c>
      <c r="AS10" s="24">
        <v>45.2</v>
      </c>
      <c r="AT10" s="24">
        <v>34.25</v>
      </c>
      <c r="AU10" s="24">
        <f>AS10+AY10</f>
        <v>28.6</v>
      </c>
      <c r="AW10" s="27">
        <f>100*(AY10/AS10)</f>
        <v>-36.725663716814161</v>
      </c>
      <c r="AX10" s="27">
        <f>100*(AZ10)/AS10</f>
        <v>44.032523941919877</v>
      </c>
      <c r="AY10" s="24">
        <v>-16.600000000000001</v>
      </c>
      <c r="AZ10" s="24">
        <f>SQRT(AI10)*4.15</f>
        <v>19.902700821747786</v>
      </c>
      <c r="BA10" s="24">
        <v>9.8000000000000007</v>
      </c>
      <c r="BB10" s="24">
        <v>4.3</v>
      </c>
      <c r="BC10" s="24">
        <f>BA10+BE10</f>
        <v>8</v>
      </c>
      <c r="BE10" s="24">
        <v>-1.8</v>
      </c>
      <c r="BF10" s="24">
        <f>SQRT(AI10)*(2.6-0.9)/3.92</f>
        <v>2.0798248953141898</v>
      </c>
      <c r="BG10" s="24">
        <f t="shared" si="3"/>
        <v>-18.367346938775508</v>
      </c>
      <c r="BH10" s="24">
        <f t="shared" si="4"/>
        <v>21.222703013410101</v>
      </c>
      <c r="BI10" s="34">
        <v>7</v>
      </c>
      <c r="BJ10" s="34">
        <v>0</v>
      </c>
      <c r="BK10" s="24" t="s">
        <v>89</v>
      </c>
    </row>
    <row r="11" spans="1:64" x14ac:dyDescent="0.2">
      <c r="A11" s="24" t="s">
        <v>47</v>
      </c>
      <c r="B11" s="34">
        <v>2020</v>
      </c>
      <c r="C11" s="24" t="s">
        <v>48</v>
      </c>
      <c r="D11" s="24" t="s">
        <v>32</v>
      </c>
      <c r="E11" s="24" t="s">
        <v>93</v>
      </c>
      <c r="F11" s="24" t="s">
        <v>49</v>
      </c>
      <c r="G11" s="34">
        <v>22</v>
      </c>
      <c r="H11" s="24" t="s">
        <v>55</v>
      </c>
      <c r="I11" s="24">
        <v>89.3</v>
      </c>
      <c r="J11" s="24">
        <v>14.5</v>
      </c>
      <c r="K11" s="24">
        <v>86.8</v>
      </c>
      <c r="L11" s="24">
        <v>16.2</v>
      </c>
      <c r="M11" s="26">
        <f>100*O11/I11</f>
        <v>-2.7995520716685331</v>
      </c>
      <c r="N11" s="26">
        <f>100*(P11)/I11</f>
        <v>13.429915537362389</v>
      </c>
      <c r="O11" s="24">
        <f>K11-I11</f>
        <v>-2.5</v>
      </c>
      <c r="P11" s="24">
        <f>SQRT(J11^2 + L11^2 - (2 * 0.7 *J11 * L11))</f>
        <v>11.992914574864612</v>
      </c>
      <c r="Q11" s="24">
        <v>29.8</v>
      </c>
      <c r="R11" s="24">
        <v>15.4</v>
      </c>
      <c r="S11" s="24">
        <v>25.2</v>
      </c>
      <c r="T11" s="24">
        <v>16.899999999999999</v>
      </c>
      <c r="U11" s="26">
        <f>100*W11/Q11</f>
        <v>-15.436241610738259</v>
      </c>
      <c r="V11" s="26">
        <f>100*(X11)/Q11</f>
        <v>42.23471322628162</v>
      </c>
      <c r="W11" s="24">
        <f>S11-Q11</f>
        <v>-4.6000000000000014</v>
      </c>
      <c r="X11" s="24">
        <f>SQRT(R11^2 + T11^2 - (2 * 0.7 *R11 * T11))</f>
        <v>12.585944541431923</v>
      </c>
      <c r="Y11" s="39" t="s">
        <v>171</v>
      </c>
      <c r="Z11" s="44"/>
      <c r="AA11" s="44"/>
      <c r="AB11" s="45"/>
      <c r="AC11" s="44"/>
      <c r="AD11" s="44"/>
      <c r="AE11" s="44"/>
      <c r="AF11" s="44"/>
      <c r="AG11" s="44"/>
      <c r="AH11" s="24" t="s">
        <v>90</v>
      </c>
      <c r="AI11" s="34">
        <v>21</v>
      </c>
      <c r="AJ11" s="24" t="s">
        <v>55</v>
      </c>
      <c r="AK11" s="24">
        <v>89.3</v>
      </c>
      <c r="AL11" s="24">
        <v>14.4</v>
      </c>
      <c r="AM11" s="24">
        <v>88.7</v>
      </c>
      <c r="AN11" s="24">
        <v>15.5</v>
      </c>
      <c r="AO11" s="27">
        <f>100*(AM11-AK11)/AK11</f>
        <v>-0.67189249720044153</v>
      </c>
      <c r="AP11" s="27">
        <f>100*(AR11)/AK11</f>
        <v>13.017405377122067</v>
      </c>
      <c r="AQ11" s="24">
        <f>AM11-AK11</f>
        <v>-0.59999999999999432</v>
      </c>
      <c r="AR11" s="24">
        <f>SQRT(AL11^2 + AN11^2 - (2 * 0.7 *AL11 * AN11))</f>
        <v>11.624543001770006</v>
      </c>
      <c r="AS11" s="24">
        <v>33.200000000000003</v>
      </c>
      <c r="AT11" s="24">
        <v>17.2</v>
      </c>
      <c r="AU11" s="24">
        <v>30.5</v>
      </c>
      <c r="AV11" s="24">
        <v>11.2</v>
      </c>
      <c r="AW11" s="27">
        <f>100*(AY11/AS11)</f>
        <v>-8.1325301204819365</v>
      </c>
      <c r="AX11" s="27">
        <f>100*(AZ11)/AS11</f>
        <v>37.084172948741958</v>
      </c>
      <c r="AY11" s="24">
        <f>AU11-AS11</f>
        <v>-2.7000000000000028</v>
      </c>
      <c r="AZ11" s="24">
        <f>SQRT(AT11^2 + AV11^2 - (2 * 0.7 *AV11 * AT11))</f>
        <v>12.311945418982331</v>
      </c>
      <c r="BA11" s="44"/>
      <c r="BB11" s="44"/>
      <c r="BC11" s="44"/>
      <c r="BD11" s="44"/>
      <c r="BE11" s="44"/>
      <c r="BF11" s="44"/>
      <c r="BG11" s="44"/>
      <c r="BH11" s="44"/>
      <c r="BI11" s="34">
        <v>3</v>
      </c>
      <c r="BJ11" s="34">
        <v>1</v>
      </c>
    </row>
    <row r="12" spans="1:64" x14ac:dyDescent="0.2">
      <c r="C12" s="24" t="s">
        <v>190</v>
      </c>
      <c r="D12" s="24" t="s">
        <v>32</v>
      </c>
      <c r="E12" s="24" t="s">
        <v>93</v>
      </c>
      <c r="F12" s="24" t="s">
        <v>36</v>
      </c>
      <c r="G12" s="34">
        <v>33</v>
      </c>
      <c r="H12" s="24" t="s">
        <v>55</v>
      </c>
      <c r="I12" s="24">
        <v>105.9</v>
      </c>
      <c r="J12" s="24">
        <f>(130.9-97.4)/1.35</f>
        <v>24.814814814814813</v>
      </c>
      <c r="K12" s="24">
        <f>I12+O12</f>
        <v>99</v>
      </c>
      <c r="M12" s="26">
        <f>100*O12/I12</f>
        <v>-6.5155807365439093</v>
      </c>
      <c r="N12" s="26">
        <f>100*(P12)/I12</f>
        <v>8.9182667086349809</v>
      </c>
      <c r="O12" s="24">
        <v>-6.9</v>
      </c>
      <c r="P12" s="24">
        <f>(2.35+10.4)/1.35</f>
        <v>9.4444444444444446</v>
      </c>
      <c r="Q12" s="30"/>
      <c r="R12" s="30"/>
      <c r="U12" s="26"/>
      <c r="V12" s="26"/>
      <c r="W12" s="24">
        <v>-10.4</v>
      </c>
      <c r="X12" s="31">
        <f>(-3.65+12.5)/1.35</f>
        <v>6.5555555555555545</v>
      </c>
      <c r="Y12" s="39" t="s">
        <v>172</v>
      </c>
      <c r="Z12" s="44"/>
      <c r="AA12" s="44"/>
      <c r="AB12" s="45"/>
      <c r="AC12" s="44"/>
      <c r="AD12" s="44"/>
      <c r="AE12" s="44"/>
      <c r="AF12" s="44"/>
      <c r="AG12" s="44"/>
      <c r="AH12" s="24" t="s">
        <v>87</v>
      </c>
      <c r="AI12" s="34">
        <v>33</v>
      </c>
      <c r="AJ12" s="24" t="s">
        <v>55</v>
      </c>
      <c r="AK12" s="29">
        <v>106.9</v>
      </c>
      <c r="AL12" s="29">
        <v>21.925925929999998</v>
      </c>
      <c r="AM12" s="24">
        <f>AK12+AQ12</f>
        <v>105.10000000000001</v>
      </c>
      <c r="AO12" s="27">
        <f>100*AQ12/AK12</f>
        <v>-1.6838166510757717</v>
      </c>
      <c r="AP12" s="27">
        <f>100*(AR12)/AK12</f>
        <v>2.892977168000554</v>
      </c>
      <c r="AQ12" s="24">
        <v>-1.8</v>
      </c>
      <c r="AR12" s="24">
        <f>(0.65+3.525)/1.35</f>
        <v>3.0925925925925921</v>
      </c>
      <c r="AS12" s="30"/>
      <c r="AT12" s="30"/>
      <c r="AW12" s="27"/>
      <c r="AX12" s="27"/>
      <c r="AY12" s="24">
        <v>-5.2</v>
      </c>
      <c r="AZ12" s="24">
        <f>(5+12.3)/1.35</f>
        <v>12.814814814814815</v>
      </c>
      <c r="BA12" s="44"/>
      <c r="BB12" s="44"/>
      <c r="BC12" s="44"/>
      <c r="BD12" s="44"/>
      <c r="BE12" s="44"/>
      <c r="BF12" s="44"/>
      <c r="BG12" s="44"/>
      <c r="BH12" s="44"/>
      <c r="BI12" s="34">
        <v>26</v>
      </c>
      <c r="BJ12" s="34"/>
      <c r="BK12" s="24" t="s">
        <v>166</v>
      </c>
    </row>
    <row r="13" spans="1:64" x14ac:dyDescent="0.2">
      <c r="A13" s="31"/>
      <c r="B13" s="38"/>
      <c r="C13" s="31" t="s">
        <v>191</v>
      </c>
      <c r="D13" s="31" t="s">
        <v>32</v>
      </c>
      <c r="E13" s="31" t="s">
        <v>93</v>
      </c>
      <c r="F13" s="24" t="s">
        <v>36</v>
      </c>
      <c r="G13" s="34">
        <v>33</v>
      </c>
      <c r="H13" s="24" t="s">
        <v>55</v>
      </c>
      <c r="I13" s="24">
        <v>106.9</v>
      </c>
      <c r="J13" s="24">
        <f>(124.4-93.6)/1.35</f>
        <v>22.81481481481482</v>
      </c>
      <c r="K13" s="24">
        <f>I13+O13</f>
        <v>102.85000000000001</v>
      </c>
      <c r="M13" s="26">
        <f>100*O13/I13</f>
        <v>-3.7885874649204863</v>
      </c>
      <c r="N13" s="26">
        <f>100*(P13)/I13</f>
        <v>2.5465128365034819</v>
      </c>
      <c r="O13" s="24">
        <v>-4.05</v>
      </c>
      <c r="P13" s="24">
        <f>(-2.6+6.275)/1.35</f>
        <v>2.7222222222222223</v>
      </c>
      <c r="Q13" s="30"/>
      <c r="R13" s="30"/>
      <c r="U13" s="26"/>
      <c r="V13" s="26"/>
      <c r="W13" s="24">
        <v>-10.9</v>
      </c>
      <c r="X13" s="24">
        <f>(-7.525+19.5)/1.35</f>
        <v>8.8703703703703702</v>
      </c>
      <c r="Y13" s="39" t="s">
        <v>172</v>
      </c>
      <c r="Z13" s="44"/>
      <c r="AA13" s="44"/>
      <c r="AB13" s="45"/>
      <c r="AC13" s="44"/>
      <c r="AD13" s="44"/>
      <c r="AE13" s="44"/>
      <c r="AF13" s="44"/>
      <c r="AG13" s="44"/>
      <c r="AH13" s="24" t="s">
        <v>88</v>
      </c>
      <c r="AI13" s="34">
        <v>33</v>
      </c>
      <c r="AJ13" s="24" t="s">
        <v>55</v>
      </c>
      <c r="AK13" s="24">
        <v>107.8</v>
      </c>
      <c r="AL13" s="24">
        <f>(115.2-93.7)/1.35</f>
        <v>15.925925925925926</v>
      </c>
      <c r="AM13" s="24">
        <f>AK13+AQ13</f>
        <v>107.5</v>
      </c>
      <c r="AO13" s="27">
        <f>100*AQ13/AK13</f>
        <v>-0.2782931354359926</v>
      </c>
      <c r="AP13" s="27">
        <f>100*(AR13)/AK13</f>
        <v>5.0848622277193698</v>
      </c>
      <c r="AQ13" s="24">
        <v>-0.3</v>
      </c>
      <c r="AR13" s="24">
        <f>(1.8+5.6)/1.35</f>
        <v>5.481481481481481</v>
      </c>
      <c r="AS13" s="30"/>
      <c r="AT13" s="30"/>
      <c r="AW13" s="27"/>
      <c r="AX13" s="27"/>
      <c r="AY13" s="24">
        <v>-7.95</v>
      </c>
      <c r="AZ13" s="24">
        <f>(1.725+15.825)/1.35</f>
        <v>13</v>
      </c>
      <c r="BA13" s="44"/>
      <c r="BB13" s="44"/>
      <c r="BC13" s="44"/>
      <c r="BD13" s="44"/>
      <c r="BE13" s="44"/>
      <c r="BF13" s="44"/>
      <c r="BG13" s="44"/>
      <c r="BH13" s="44"/>
      <c r="BI13" s="34">
        <v>26</v>
      </c>
      <c r="BJ13" s="34"/>
      <c r="BK13" s="24" t="s">
        <v>167</v>
      </c>
    </row>
    <row r="14" spans="1:64" x14ac:dyDescent="0.2">
      <c r="A14" s="24" t="s">
        <v>189</v>
      </c>
      <c r="B14" s="34">
        <v>2022</v>
      </c>
      <c r="C14" s="24" t="s">
        <v>51</v>
      </c>
      <c r="D14" s="24" t="s">
        <v>32</v>
      </c>
      <c r="E14" s="24" t="s">
        <v>93</v>
      </c>
      <c r="F14" s="24" t="s">
        <v>36</v>
      </c>
      <c r="G14" s="34">
        <v>66</v>
      </c>
      <c r="H14" s="24" t="s">
        <v>55</v>
      </c>
      <c r="I14" s="24">
        <f>((I12*G12)+(I13*G13))/(G12+G13)</f>
        <v>106.4</v>
      </c>
      <c r="J14" s="24">
        <f>SQRT(((G12*(J12^2+(I14-I12)^2))+(G13*(J13^2+(I14-I13)^2)))/G14)</f>
        <v>23.841044538021471</v>
      </c>
      <c r="K14" s="24">
        <f>I14+O14</f>
        <v>100.92500000000001</v>
      </c>
      <c r="M14" s="24">
        <f>(M12+M13)/2</f>
        <v>-5.152084100732198</v>
      </c>
      <c r="N14" s="24">
        <f>SQRT(((G12*(N12^2+(M14-M12)^2))+(G13*(N13^2+(M14-M13)^2)))/G14)</f>
        <v>6.6984496290023614</v>
      </c>
      <c r="O14" s="24">
        <f>(O12+O13)/2</f>
        <v>-5.4749999999999996</v>
      </c>
      <c r="P14" s="29">
        <f>SQRT(((G12*(P12^2+(O14-O12)^2))+(G13*(P13^2+(O14-O13)^2)))/G14)</f>
        <v>7.0946907857692443</v>
      </c>
      <c r="W14" s="24">
        <f>(W12+W13)/2</f>
        <v>-10.65</v>
      </c>
      <c r="X14" s="24">
        <f>SQRT(((G12*(X12^2+(W14-W12)^2))+(G13*(X13^2+(W14-W13)^2)))/G14)</f>
        <v>7.8033255458656816</v>
      </c>
      <c r="Y14" s="39" t="s">
        <v>172</v>
      </c>
      <c r="Z14" s="34"/>
      <c r="AB14" s="24"/>
      <c r="AH14" s="24" t="s">
        <v>87</v>
      </c>
      <c r="AI14" s="24">
        <v>66</v>
      </c>
      <c r="AJ14" s="24" t="s">
        <v>55</v>
      </c>
      <c r="AK14" s="24">
        <f>(AK12+AK13)/2</f>
        <v>107.35</v>
      </c>
      <c r="AL14" s="24">
        <f>SQRT(((AI12*(AL12^2+(AK14-AK12)^2))+(AI13*(AL13^2+(AK14-AK13)^2)))/AI14)</f>
        <v>19.167503025771587</v>
      </c>
      <c r="AM14" s="24">
        <f>AK14+AQ14</f>
        <v>106.3</v>
      </c>
      <c r="AO14" s="24">
        <f>(AO12+AO13)/2</f>
        <v>-0.98105489325588213</v>
      </c>
      <c r="AP14" s="24">
        <f>SQRT(((AI12*(AP12^2+(AO14-AO12)^2))+(AI13*(AP13^2+(AO14-AO13)^2)))/AI14)</f>
        <v>4.1960033928708818</v>
      </c>
      <c r="AQ14" s="24">
        <f>(AQ12+AQ13)/2</f>
        <v>-1.05</v>
      </c>
      <c r="AR14" s="24">
        <f>SQRT(((AI12*(AR12^2+(AQ14-AQ12)^2))+(AI13*(AR13^2+(AQ14-AQ13)^2)))/AI14)</f>
        <v>4.5130792246305065</v>
      </c>
      <c r="AT14" s="24"/>
      <c r="AY14" s="24">
        <f>(AY12+AY13)/2</f>
        <v>-6.5750000000000002</v>
      </c>
      <c r="AZ14" s="24">
        <f>SQRT(((AI12*(AZ12^2+(AY14-AY12)^2))+(AI13*(AZ13^2+(AY14-AY13)^2)))/AI14)</f>
        <v>12.980769020709005</v>
      </c>
      <c r="BI14" s="24">
        <v>26</v>
      </c>
      <c r="BJ14" s="34">
        <v>1</v>
      </c>
      <c r="BK14" s="24" t="s">
        <v>192</v>
      </c>
    </row>
    <row r="15" spans="1:64" x14ac:dyDescent="0.2">
      <c r="F15" s="25"/>
      <c r="G15" s="24"/>
      <c r="H15" s="34"/>
      <c r="I15" s="24"/>
      <c r="AA15" s="34"/>
      <c r="AB15" s="24"/>
      <c r="AS15" s="34"/>
      <c r="AT15" s="24"/>
    </row>
    <row r="17" spans="63:63" x14ac:dyDescent="0.2">
      <c r="BK17" s="24" t="s">
        <v>195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18499-DB63-4C0B-98B5-7AFCE1F93151}">
  <dimension ref="A1:AU22"/>
  <sheetViews>
    <sheetView workbookViewId="0">
      <pane ySplit="1" topLeftCell="A3" activePane="bottomLeft" state="frozen"/>
      <selection pane="bottomLeft" activeCell="A3" sqref="A3:A17"/>
    </sheetView>
  </sheetViews>
  <sheetFormatPr baseColWidth="10" defaultColWidth="10.6640625" defaultRowHeight="16" x14ac:dyDescent="0.2"/>
  <cols>
    <col min="1" max="1" width="17.83203125" style="5" customWidth="1"/>
    <col min="2" max="2" width="18" style="5" customWidth="1"/>
    <col min="3" max="4" width="29" style="5" customWidth="1"/>
    <col min="5" max="5" width="10.6640625" style="5"/>
    <col min="6" max="7" width="21.6640625" style="5" customWidth="1"/>
    <col min="8" max="8" width="16.5" style="5" customWidth="1"/>
    <col min="9" max="9" width="21.33203125" style="5" customWidth="1"/>
    <col min="10" max="10" width="18.83203125" style="5" customWidth="1"/>
    <col min="11" max="11" width="21.1640625" style="5" customWidth="1"/>
    <col min="12" max="12" width="16.33203125" style="5" customWidth="1"/>
    <col min="13" max="13" width="17" style="5" customWidth="1"/>
    <col min="14" max="15" width="22.1640625" style="5" customWidth="1"/>
    <col min="16" max="16" width="10.6640625" style="5"/>
    <col min="17" max="17" width="18.33203125" style="5" customWidth="1"/>
    <col min="18" max="18" width="43" style="5" customWidth="1"/>
    <col min="19" max="19" width="15" style="5" customWidth="1"/>
    <col min="20" max="20" width="17.1640625" style="5" customWidth="1"/>
    <col min="21" max="21" width="15.5" style="5" customWidth="1"/>
    <col min="22" max="22" width="10.6640625" style="5"/>
    <col min="23" max="23" width="19.1640625" style="5" customWidth="1"/>
    <col min="24" max="25" width="10.6640625" style="5"/>
    <col min="26" max="26" width="28" style="5" customWidth="1"/>
    <col min="27" max="27" width="15.6640625" style="5" customWidth="1"/>
    <col min="28" max="34" width="10.6640625" style="5"/>
    <col min="35" max="35" width="17.5" style="5" customWidth="1"/>
    <col min="36" max="36" width="10.6640625" style="5"/>
    <col min="37" max="37" width="27" style="5" customWidth="1"/>
    <col min="38" max="44" width="10.6640625" style="5"/>
    <col min="45" max="45" width="21.33203125" style="5" customWidth="1"/>
    <col min="46" max="16384" width="10.6640625" style="5"/>
  </cols>
  <sheetData>
    <row r="1" spans="1:47" s="1" customFormat="1" ht="85" x14ac:dyDescent="0.2">
      <c r="A1" s="1" t="s">
        <v>0</v>
      </c>
      <c r="B1" s="1" t="s">
        <v>1</v>
      </c>
      <c r="C1" s="1" t="s">
        <v>2</v>
      </c>
      <c r="D1" s="1" t="s">
        <v>111</v>
      </c>
      <c r="E1" s="1" t="s">
        <v>11</v>
      </c>
      <c r="F1" s="1" t="s">
        <v>95</v>
      </c>
      <c r="G1" s="1" t="s">
        <v>114</v>
      </c>
      <c r="H1" s="2" t="s">
        <v>3</v>
      </c>
      <c r="I1" s="2" t="s">
        <v>4</v>
      </c>
      <c r="J1" s="2" t="s">
        <v>52</v>
      </c>
      <c r="K1" s="2" t="s">
        <v>65</v>
      </c>
      <c r="L1" s="2" t="s">
        <v>5</v>
      </c>
      <c r="M1" s="2" t="s">
        <v>66</v>
      </c>
      <c r="N1" s="2" t="s">
        <v>67</v>
      </c>
      <c r="O1" s="2" t="s">
        <v>68</v>
      </c>
      <c r="P1" s="2" t="s">
        <v>69</v>
      </c>
      <c r="Q1" s="2" t="s">
        <v>70</v>
      </c>
      <c r="R1" s="2" t="s">
        <v>71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57</v>
      </c>
      <c r="X1" s="2" t="s">
        <v>62</v>
      </c>
      <c r="Y1" s="2" t="s">
        <v>61</v>
      </c>
      <c r="Z1" s="2" t="s">
        <v>63</v>
      </c>
      <c r="AA1" s="3" t="s">
        <v>6</v>
      </c>
      <c r="AB1" s="3" t="s">
        <v>7</v>
      </c>
      <c r="AC1" s="3" t="s">
        <v>52</v>
      </c>
      <c r="AD1" s="3" t="s">
        <v>72</v>
      </c>
      <c r="AE1" s="3" t="s">
        <v>8</v>
      </c>
      <c r="AF1" s="3" t="s">
        <v>73</v>
      </c>
      <c r="AG1" s="3" t="s">
        <v>9</v>
      </c>
      <c r="AH1" s="3" t="s">
        <v>74</v>
      </c>
      <c r="AI1" s="3" t="s">
        <v>75</v>
      </c>
      <c r="AJ1" s="3" t="s">
        <v>76</v>
      </c>
      <c r="AK1" s="3" t="s">
        <v>77</v>
      </c>
      <c r="AL1" s="3" t="s">
        <v>78</v>
      </c>
      <c r="AM1" s="3" t="s">
        <v>20</v>
      </c>
      <c r="AN1" s="3" t="s">
        <v>79</v>
      </c>
      <c r="AO1" s="3" t="s">
        <v>21</v>
      </c>
      <c r="AP1" s="3" t="s">
        <v>23</v>
      </c>
      <c r="AQ1" s="3" t="s">
        <v>22</v>
      </c>
      <c r="AR1" s="3" t="s">
        <v>58</v>
      </c>
      <c r="AS1" s="3" t="s">
        <v>59</v>
      </c>
      <c r="AT1" s="1" t="s">
        <v>54</v>
      </c>
      <c r="AU1" s="1" t="s">
        <v>56</v>
      </c>
    </row>
    <row r="2" spans="1:47" s="4" customFormat="1" ht="140.5" customHeight="1" x14ac:dyDescent="0.2">
      <c r="F2" s="4" t="s">
        <v>108</v>
      </c>
      <c r="H2" s="4" t="s">
        <v>109</v>
      </c>
      <c r="K2" s="4" t="s">
        <v>103</v>
      </c>
      <c r="L2" s="4" t="s">
        <v>60</v>
      </c>
      <c r="O2" s="4" t="s">
        <v>107</v>
      </c>
      <c r="P2" s="4" t="s">
        <v>104</v>
      </c>
      <c r="Q2" s="4" t="s">
        <v>105</v>
      </c>
      <c r="R2" s="4" t="s">
        <v>106</v>
      </c>
      <c r="T2" s="4" t="s">
        <v>60</v>
      </c>
      <c r="W2" s="4" t="s">
        <v>107</v>
      </c>
      <c r="X2" s="4" t="s">
        <v>104</v>
      </c>
      <c r="Y2" s="4" t="s">
        <v>105</v>
      </c>
      <c r="Z2" s="4" t="s">
        <v>106</v>
      </c>
      <c r="AD2" s="4" t="s">
        <v>103</v>
      </c>
      <c r="AE2" s="4" t="s">
        <v>60</v>
      </c>
      <c r="AH2" s="4" t="s">
        <v>107</v>
      </c>
      <c r="AI2" s="4" t="s">
        <v>104</v>
      </c>
      <c r="AJ2" s="4" t="s">
        <v>105</v>
      </c>
      <c r="AK2" s="4" t="s">
        <v>106</v>
      </c>
      <c r="AM2" s="4" t="s">
        <v>60</v>
      </c>
      <c r="AP2" s="4" t="s">
        <v>107</v>
      </c>
      <c r="AQ2" s="4" t="s">
        <v>104</v>
      </c>
      <c r="AR2" s="4" t="s">
        <v>105</v>
      </c>
      <c r="AS2" s="4" t="s">
        <v>106</v>
      </c>
    </row>
    <row r="3" spans="1:47" ht="68" x14ac:dyDescent="0.2">
      <c r="A3" s="18" t="s">
        <v>10</v>
      </c>
      <c r="B3" s="5">
        <v>2021</v>
      </c>
      <c r="C3" s="5" t="s">
        <v>12</v>
      </c>
      <c r="D3" s="5" t="s">
        <v>112</v>
      </c>
      <c r="E3" s="5" t="s">
        <v>13</v>
      </c>
      <c r="G3" s="5" t="s">
        <v>115</v>
      </c>
      <c r="H3" s="5" t="s">
        <v>113</v>
      </c>
      <c r="I3" s="5">
        <v>24</v>
      </c>
      <c r="J3" s="5" t="s">
        <v>53</v>
      </c>
      <c r="K3" s="6">
        <v>36.700000000000003</v>
      </c>
      <c r="L3" s="6">
        <f>(37.7-35.9)/1.35</f>
        <v>1.3333333333333364</v>
      </c>
      <c r="M3" s="6">
        <v>26.4</v>
      </c>
      <c r="N3" s="6">
        <f>(27.7-23.6)/1.35</f>
        <v>3.0370370370370354</v>
      </c>
      <c r="O3" s="6">
        <f>((K3-M3)/K3)*100</f>
        <v>28.065395095367858</v>
      </c>
      <c r="P3" s="6">
        <f>((N3-L3)/L3)*100</f>
        <v>127.77777777777715</v>
      </c>
      <c r="Q3" s="6">
        <f>K3-M3</f>
        <v>10.300000000000004</v>
      </c>
      <c r="R3" s="6">
        <f>SQRT(L3^2+N3^2)-(2*0.7*L3*N3)</f>
        <v>-2.3523042206560918</v>
      </c>
      <c r="S3" s="6">
        <v>18.7</v>
      </c>
      <c r="T3" s="6">
        <f>(27.8-12.4)/1.35</f>
        <v>11.407407407407407</v>
      </c>
      <c r="U3" s="6">
        <v>3.2</v>
      </c>
      <c r="V3" s="6">
        <f>(5-1.5)/1.35</f>
        <v>2.5925925925925926</v>
      </c>
      <c r="W3" s="6">
        <f>((S3-U3)/S3)*100</f>
        <v>82.887700534759361</v>
      </c>
      <c r="X3" s="6">
        <f>((T3-V3)/T3)*100</f>
        <v>77.272727272727266</v>
      </c>
      <c r="Y3" s="6">
        <f>S3-U3</f>
        <v>15.5</v>
      </c>
      <c r="Z3" s="5">
        <f>SQRT(T3^2+V3)-(2*0.7*T3*V3)</f>
        <v>-29.884180584747106</v>
      </c>
      <c r="AA3" s="13" t="s">
        <v>116</v>
      </c>
      <c r="AB3" s="5">
        <v>13</v>
      </c>
      <c r="AC3" s="5" t="s">
        <v>53</v>
      </c>
      <c r="AD3" s="6">
        <v>37.1</v>
      </c>
      <c r="AE3" s="6">
        <f>(38.7-36.3)/1.35</f>
        <v>1.7777777777777819</v>
      </c>
      <c r="AF3" s="6">
        <v>38.1</v>
      </c>
      <c r="AG3" s="6">
        <f>(41.7-33.5)/1.35</f>
        <v>6.0740740740740762</v>
      </c>
      <c r="AH3" s="6">
        <f>((AF3-AD3)/AD3)*100</f>
        <v>2.6954177897574123</v>
      </c>
      <c r="AI3" s="6">
        <f>((AG3-AE3)/AE3)*100</f>
        <v>241.66666666666598</v>
      </c>
      <c r="AJ3" s="6">
        <f>AF3-AD3</f>
        <v>1</v>
      </c>
      <c r="AK3" s="6">
        <f>SQRT(AE3^2+AG3^2)-(2*0.7*AE3*AG3)</f>
        <v>-8.7888038100528956</v>
      </c>
      <c r="AL3" s="6">
        <v>13.2</v>
      </c>
      <c r="AM3" s="6">
        <f>(39.9-6.7)/1.35</f>
        <v>24.592592592592588</v>
      </c>
      <c r="AN3" s="6">
        <v>17.7</v>
      </c>
      <c r="AO3" s="6">
        <f>(29-14.2)/1.35</f>
        <v>10.962962962962962</v>
      </c>
      <c r="AP3" s="6">
        <f>((AN3-AL3)/AL3)*100</f>
        <v>34.090909090909093</v>
      </c>
      <c r="AQ3" s="6">
        <f>((AM3-AO3)/AM3)*100</f>
        <v>55.421686746987952</v>
      </c>
      <c r="AR3" s="6">
        <f>AN3-AL3</f>
        <v>4.5</v>
      </c>
      <c r="AS3" s="6">
        <f>SQRT(AM3^2+AO3^2)-(2*0.7*AM3*AO3)</f>
        <v>-350.52526156847568</v>
      </c>
      <c r="AT3" s="5">
        <v>36</v>
      </c>
    </row>
    <row r="4" spans="1:47" ht="85" x14ac:dyDescent="0.2">
      <c r="A4" s="18" t="s">
        <v>25</v>
      </c>
      <c r="B4" s="5">
        <v>2015</v>
      </c>
      <c r="C4" s="5" t="s">
        <v>24</v>
      </c>
      <c r="D4" s="5" t="s">
        <v>118</v>
      </c>
      <c r="E4" s="5" t="s">
        <v>13</v>
      </c>
      <c r="G4" s="13" t="s">
        <v>119</v>
      </c>
      <c r="H4" s="5" t="s">
        <v>120</v>
      </c>
      <c r="I4" s="5">
        <v>30</v>
      </c>
      <c r="J4" s="5" t="s">
        <v>53</v>
      </c>
      <c r="K4" s="6">
        <v>48.8</v>
      </c>
      <c r="L4" s="6">
        <v>9.9</v>
      </c>
      <c r="M4" s="6">
        <v>42.2</v>
      </c>
      <c r="N4" s="6">
        <v>9.9</v>
      </c>
      <c r="O4" s="6">
        <f>((K4-M4)/K4)*100</f>
        <v>13.524590163934416</v>
      </c>
      <c r="P4" s="6">
        <f>((L4-N4)/L4)*100</f>
        <v>0</v>
      </c>
      <c r="Q4" s="6">
        <f>K4-M4</f>
        <v>6.5999999999999943</v>
      </c>
      <c r="R4" s="6">
        <f>SQRT(L4^2+N4^2)-(2*0.7*L4*N4)</f>
        <v>-123.21328573250636</v>
      </c>
      <c r="S4" s="6">
        <v>56.5</v>
      </c>
      <c r="T4" s="6">
        <v>24.9</v>
      </c>
      <c r="U4" s="6">
        <v>40.700000000000003</v>
      </c>
      <c r="V4" s="6">
        <v>23.8</v>
      </c>
      <c r="W4" s="6">
        <f>((S4-U4)/S4)*100</f>
        <v>27.9646017699115</v>
      </c>
      <c r="X4" s="6">
        <f>((T4-V4)/T4)*100</f>
        <v>4.4176706827309156</v>
      </c>
      <c r="Y4" s="6">
        <f>S4-U4</f>
        <v>15.799999999999997</v>
      </c>
      <c r="Z4" s="5">
        <f>SQRT(T4^2+V4^2)-(2*0.7*T4*V4)</f>
        <v>-795.22311649025346</v>
      </c>
      <c r="AA4" s="14" t="s">
        <v>121</v>
      </c>
      <c r="AB4" s="5">
        <v>33</v>
      </c>
      <c r="AC4" s="5" t="s">
        <v>53</v>
      </c>
      <c r="AD4" s="6">
        <v>44.4</v>
      </c>
      <c r="AE4" s="6">
        <v>9</v>
      </c>
      <c r="AF4" s="6">
        <v>43.5</v>
      </c>
      <c r="AG4" s="6">
        <v>12.2</v>
      </c>
      <c r="AH4" s="6">
        <f>((AD4-AF4)/AD4)*100</f>
        <v>2.0270270270270241</v>
      </c>
      <c r="AI4" s="6">
        <f>((AG4-AE4)/AE4)*100</f>
        <v>35.555555555555543</v>
      </c>
      <c r="AJ4" s="6">
        <f>AD4-AF4</f>
        <v>0.89999999999999858</v>
      </c>
      <c r="AK4" s="6">
        <f>SQRT(AE4^2+AG4^2)-(2*0.7*AE4*AG4)</f>
        <v>-138.55952507340223</v>
      </c>
      <c r="AL4" s="6">
        <v>46.3</v>
      </c>
      <c r="AM4" s="6">
        <v>25.3</v>
      </c>
      <c r="AN4" s="6">
        <v>43.5</v>
      </c>
      <c r="AO4" s="6">
        <v>28.7</v>
      </c>
      <c r="AP4" s="6">
        <f>((AN4-AL4)/AL4)*100</f>
        <v>-6.0475161987040975</v>
      </c>
      <c r="AQ4" s="6">
        <f>(AS4/AM4)*100</f>
        <v>-3866.7771623108665</v>
      </c>
      <c r="AR4" s="6">
        <f>AL4-AN4</f>
        <v>2.7999999999999972</v>
      </c>
      <c r="AS4" s="6">
        <f>SQRT(AM4^2+AO4^2)-(2*0.7*AM4*AO4)</f>
        <v>-978.29462206464927</v>
      </c>
      <c r="AT4" s="5">
        <v>36</v>
      </c>
      <c r="AU4" s="5" t="s">
        <v>122</v>
      </c>
    </row>
    <row r="5" spans="1:47" x14ac:dyDescent="0.2">
      <c r="A5" s="18" t="s">
        <v>26</v>
      </c>
      <c r="B5" s="5">
        <v>2014</v>
      </c>
      <c r="C5" s="5" t="s">
        <v>27</v>
      </c>
      <c r="D5" s="5" t="s">
        <v>123</v>
      </c>
      <c r="E5" s="5" t="s">
        <v>13</v>
      </c>
      <c r="G5" s="5" t="s">
        <v>124</v>
      </c>
      <c r="H5" s="5" t="s">
        <v>125</v>
      </c>
      <c r="I5" s="5">
        <v>16</v>
      </c>
      <c r="J5" s="5" t="s">
        <v>53</v>
      </c>
      <c r="K5" s="6">
        <v>48.15</v>
      </c>
      <c r="L5" s="6">
        <v>8.58</v>
      </c>
      <c r="M5" s="6">
        <v>36.909999999999997</v>
      </c>
      <c r="N5" s="6">
        <v>6.67</v>
      </c>
      <c r="O5" s="6">
        <f>((K5-M5)/K5)*100</f>
        <v>23.343717549325032</v>
      </c>
      <c r="P5" s="6">
        <f>(R5/L5)*100</f>
        <v>71.832381295265066</v>
      </c>
      <c r="Q5" s="6">
        <f>K5-M5</f>
        <v>11.240000000000002</v>
      </c>
      <c r="R5" s="6">
        <f>SQRT(L5^2+N5^2-(2*0.7*L5*N5))</f>
        <v>6.1632183151337427</v>
      </c>
      <c r="S5" s="6">
        <v>15.65</v>
      </c>
      <c r="T5" s="6">
        <v>15.51</v>
      </c>
      <c r="U5" s="6">
        <v>6.26</v>
      </c>
      <c r="V5" s="6">
        <v>7.57</v>
      </c>
      <c r="W5" s="6">
        <f>((S5-U5)/S5)*100</f>
        <v>60</v>
      </c>
      <c r="X5" s="6"/>
      <c r="Y5" s="6">
        <f>S5-U5</f>
        <v>9.39</v>
      </c>
      <c r="Z5" s="5">
        <f>SQRT(T5^2+V5^2-(2*0.7*T5*V5))</f>
        <v>11.553788123381873</v>
      </c>
      <c r="AA5" s="5" t="s">
        <v>126</v>
      </c>
      <c r="AB5" s="5">
        <v>16</v>
      </c>
      <c r="AC5" s="5" t="s">
        <v>53</v>
      </c>
      <c r="AD5" s="6">
        <v>46.2</v>
      </c>
      <c r="AE5" s="6">
        <v>6.13</v>
      </c>
      <c r="AF5" s="6">
        <v>46.2</v>
      </c>
      <c r="AG5" s="6">
        <v>6.13</v>
      </c>
      <c r="AH5" s="6">
        <v>0</v>
      </c>
      <c r="AI5" s="6"/>
      <c r="AJ5" s="6">
        <v>0</v>
      </c>
      <c r="AK5" s="6"/>
      <c r="AL5" s="6">
        <v>15.34</v>
      </c>
      <c r="AM5" s="6">
        <v>9.14</v>
      </c>
      <c r="AN5" s="15"/>
      <c r="AO5" s="15"/>
      <c r="AP5" s="15"/>
      <c r="AQ5" s="15"/>
      <c r="AR5" s="15"/>
      <c r="AS5" s="15"/>
      <c r="AT5" s="5" t="s">
        <v>127</v>
      </c>
      <c r="AU5" s="5" t="s">
        <v>128</v>
      </c>
    </row>
    <row r="6" spans="1:47" ht="68" x14ac:dyDescent="0.2">
      <c r="A6" s="18" t="s">
        <v>29</v>
      </c>
      <c r="B6" s="5">
        <v>2012</v>
      </c>
      <c r="C6" s="5" t="s">
        <v>28</v>
      </c>
      <c r="D6" s="5" t="s">
        <v>129</v>
      </c>
      <c r="E6" s="5" t="s">
        <v>13</v>
      </c>
      <c r="G6" s="13" t="s">
        <v>130</v>
      </c>
      <c r="H6" s="5" t="s">
        <v>120</v>
      </c>
      <c r="I6" s="5">
        <v>26</v>
      </c>
      <c r="J6" s="5" t="s">
        <v>55</v>
      </c>
      <c r="K6" s="6">
        <v>134.9</v>
      </c>
      <c r="L6" s="6">
        <v>22.1</v>
      </c>
      <c r="M6" s="6">
        <v>107</v>
      </c>
      <c r="N6" s="6" t="s">
        <v>133</v>
      </c>
      <c r="O6" s="6"/>
      <c r="P6" s="6"/>
      <c r="Q6" s="6"/>
      <c r="R6" s="6"/>
      <c r="S6" s="6">
        <v>65</v>
      </c>
      <c r="T6" s="6">
        <v>32.799999999999997</v>
      </c>
      <c r="U6" s="6">
        <v>39.5</v>
      </c>
      <c r="V6" s="6" t="s">
        <v>132</v>
      </c>
      <c r="W6" s="6"/>
      <c r="X6" s="6"/>
      <c r="AA6" s="13" t="s">
        <v>131</v>
      </c>
      <c r="AB6" s="5">
        <v>26</v>
      </c>
      <c r="AC6" s="5" t="s">
        <v>55</v>
      </c>
      <c r="AD6" s="5">
        <v>126</v>
      </c>
      <c r="AE6" s="6">
        <v>19.3</v>
      </c>
      <c r="AF6" s="6"/>
      <c r="AG6" s="6"/>
      <c r="AH6" s="6"/>
      <c r="AI6" s="6"/>
      <c r="AJ6" s="6"/>
      <c r="AK6" s="6"/>
      <c r="AL6" s="6">
        <v>57.2</v>
      </c>
      <c r="AM6" s="6">
        <v>30.3</v>
      </c>
      <c r="AN6" s="6">
        <v>43.2</v>
      </c>
      <c r="AO6" s="6" t="s">
        <v>134</v>
      </c>
      <c r="AP6" s="6"/>
      <c r="AQ6" s="6"/>
      <c r="AR6" s="6"/>
      <c r="AS6" s="6"/>
      <c r="AT6" s="5">
        <v>24</v>
      </c>
      <c r="AU6" s="8" t="s">
        <v>135</v>
      </c>
    </row>
    <row r="7" spans="1:47" ht="51" x14ac:dyDescent="0.2">
      <c r="A7" s="18" t="s">
        <v>98</v>
      </c>
      <c r="B7" s="5">
        <v>2017</v>
      </c>
      <c r="C7" s="9" t="s">
        <v>99</v>
      </c>
      <c r="D7" s="16" t="s">
        <v>137</v>
      </c>
      <c r="E7" s="5" t="s">
        <v>13</v>
      </c>
      <c r="G7" s="13" t="s">
        <v>136</v>
      </c>
      <c r="H7" s="5" t="s">
        <v>138</v>
      </c>
      <c r="I7" s="5">
        <v>24</v>
      </c>
      <c r="J7" s="5" t="s">
        <v>53</v>
      </c>
      <c r="K7" s="6">
        <v>39.1</v>
      </c>
      <c r="L7" s="6">
        <v>2.9</v>
      </c>
      <c r="M7" s="6">
        <v>35.700000000000003</v>
      </c>
      <c r="N7" s="6">
        <v>3.9</v>
      </c>
      <c r="O7" s="6"/>
      <c r="P7" s="6"/>
      <c r="Q7" s="6"/>
      <c r="R7" s="6"/>
      <c r="S7" s="6">
        <v>51.5</v>
      </c>
      <c r="T7" s="6">
        <v>23.5</v>
      </c>
      <c r="U7" s="6">
        <v>34.1</v>
      </c>
      <c r="V7" s="6">
        <v>24.6</v>
      </c>
      <c r="W7" s="6"/>
      <c r="X7" s="6"/>
      <c r="AA7" s="5" t="s">
        <v>101</v>
      </c>
      <c r="AB7" s="5">
        <v>16</v>
      </c>
      <c r="AC7" s="5" t="s">
        <v>53</v>
      </c>
      <c r="AD7" s="6">
        <v>38.700000000000003</v>
      </c>
      <c r="AE7" s="6">
        <v>3.1</v>
      </c>
      <c r="AF7" s="6">
        <v>37.4</v>
      </c>
      <c r="AG7" s="6">
        <v>4.5</v>
      </c>
      <c r="AH7" s="6"/>
      <c r="AI7" s="6"/>
      <c r="AJ7" s="6"/>
      <c r="AK7" s="6"/>
      <c r="AL7" s="6">
        <v>47.5</v>
      </c>
      <c r="AM7" s="6">
        <v>31.5</v>
      </c>
      <c r="AN7" s="6">
        <v>36.4</v>
      </c>
      <c r="AO7" s="6">
        <v>23.2</v>
      </c>
      <c r="AP7" s="6"/>
      <c r="AQ7" s="6"/>
      <c r="AR7" s="6"/>
      <c r="AS7" s="6"/>
      <c r="AT7" s="5">
        <v>18</v>
      </c>
      <c r="AU7" s="8" t="s">
        <v>139</v>
      </c>
    </row>
    <row r="8" spans="1:47" ht="34" x14ac:dyDescent="0.2">
      <c r="A8" s="18" t="s">
        <v>30</v>
      </c>
      <c r="B8" s="5">
        <v>2013</v>
      </c>
      <c r="C8" s="5" t="s">
        <v>31</v>
      </c>
      <c r="D8" s="5" t="s">
        <v>141</v>
      </c>
      <c r="E8" s="5" t="s">
        <v>32</v>
      </c>
      <c r="G8" s="13" t="s">
        <v>140</v>
      </c>
      <c r="H8" s="5" t="s">
        <v>33</v>
      </c>
      <c r="I8" s="5">
        <v>22</v>
      </c>
      <c r="J8" s="5" t="s">
        <v>53</v>
      </c>
      <c r="K8" s="6">
        <v>31</v>
      </c>
      <c r="L8" s="6">
        <v>3</v>
      </c>
      <c r="M8" s="6"/>
      <c r="N8" s="6"/>
      <c r="O8" s="6"/>
      <c r="P8" s="6"/>
      <c r="Q8" s="6">
        <v>-0.6</v>
      </c>
      <c r="R8" s="6" t="s">
        <v>146</v>
      </c>
      <c r="S8" s="6">
        <v>42</v>
      </c>
      <c r="T8" s="6">
        <v>24</v>
      </c>
      <c r="U8" s="6" t="s">
        <v>142</v>
      </c>
      <c r="V8" s="6"/>
      <c r="W8" s="7"/>
      <c r="X8" s="7"/>
      <c r="Y8" s="5">
        <v>-8</v>
      </c>
      <c r="AA8" s="5" t="s">
        <v>101</v>
      </c>
      <c r="AB8" s="5">
        <v>11</v>
      </c>
      <c r="AC8" s="5" t="s">
        <v>53</v>
      </c>
      <c r="AD8" s="6">
        <v>31</v>
      </c>
      <c r="AE8" s="6">
        <v>2</v>
      </c>
      <c r="AF8" s="6"/>
      <c r="AG8" s="6"/>
      <c r="AH8" s="6"/>
      <c r="AI8" s="6"/>
      <c r="AJ8" s="6">
        <v>0.7</v>
      </c>
      <c r="AK8" s="17" t="s">
        <v>145</v>
      </c>
      <c r="AL8" s="6">
        <v>48</v>
      </c>
      <c r="AM8" s="6">
        <v>26</v>
      </c>
      <c r="AN8" s="6" t="s">
        <v>143</v>
      </c>
      <c r="AO8" s="6"/>
      <c r="AP8" s="6"/>
      <c r="AQ8" s="6"/>
      <c r="AR8" s="6">
        <v>-42.5</v>
      </c>
      <c r="AS8" s="6" t="s">
        <v>144</v>
      </c>
      <c r="AT8" s="5">
        <v>6</v>
      </c>
    </row>
    <row r="9" spans="1:47" x14ac:dyDescent="0.2">
      <c r="A9" s="18" t="s">
        <v>34</v>
      </c>
      <c r="B9" s="5">
        <v>2016</v>
      </c>
      <c r="C9" s="5" t="s">
        <v>35</v>
      </c>
      <c r="D9" s="5" t="s">
        <v>112</v>
      </c>
      <c r="E9" s="5" t="s">
        <v>32</v>
      </c>
      <c r="H9" s="5" t="s">
        <v>36</v>
      </c>
      <c r="I9" s="5">
        <v>168</v>
      </c>
      <c r="J9" s="5" t="s">
        <v>53</v>
      </c>
      <c r="K9" s="6">
        <v>38.9</v>
      </c>
      <c r="L9" s="6">
        <v>6.4</v>
      </c>
      <c r="M9" s="6"/>
      <c r="N9" s="6"/>
      <c r="O9" s="6">
        <v>-2.2000000000000002</v>
      </c>
      <c r="P9" s="6">
        <v>-0.2</v>
      </c>
      <c r="Q9" s="6"/>
      <c r="R9" s="6"/>
      <c r="S9" s="6" t="s">
        <v>147</v>
      </c>
      <c r="T9" s="6"/>
      <c r="U9" s="6"/>
      <c r="V9" s="6"/>
      <c r="W9" s="7">
        <v>12.2</v>
      </c>
      <c r="X9" s="7">
        <v>1.8</v>
      </c>
      <c r="AA9" s="5" t="s">
        <v>84</v>
      </c>
      <c r="AB9" s="5">
        <v>179</v>
      </c>
      <c r="AC9" s="5" t="s">
        <v>53</v>
      </c>
      <c r="AD9" s="6">
        <v>39.4</v>
      </c>
      <c r="AE9" s="6">
        <v>7.4</v>
      </c>
      <c r="AF9" s="6"/>
      <c r="AG9" s="6"/>
      <c r="AH9" s="6"/>
      <c r="AI9" s="6">
        <v>-0.6</v>
      </c>
      <c r="AJ9" s="6">
        <v>-0.1</v>
      </c>
      <c r="AK9" s="6"/>
      <c r="AL9" s="6">
        <v>49.3</v>
      </c>
      <c r="AM9" s="6">
        <v>27.5</v>
      </c>
      <c r="AN9" s="6"/>
      <c r="AO9" s="6"/>
      <c r="AP9" s="6"/>
      <c r="AQ9" s="6"/>
      <c r="AR9" s="6">
        <v>-6.1</v>
      </c>
      <c r="AS9" s="6">
        <v>2</v>
      </c>
      <c r="AT9" s="5">
        <v>8</v>
      </c>
      <c r="AU9" s="5" t="s">
        <v>148</v>
      </c>
    </row>
    <row r="10" spans="1:47" x14ac:dyDescent="0.2">
      <c r="A10" s="18" t="s">
        <v>37</v>
      </c>
      <c r="B10" s="5">
        <v>2019</v>
      </c>
      <c r="C10" s="5" t="s">
        <v>38</v>
      </c>
      <c r="D10" s="5" t="s">
        <v>149</v>
      </c>
      <c r="E10" s="5" t="s">
        <v>32</v>
      </c>
      <c r="H10" s="5" t="s">
        <v>152</v>
      </c>
      <c r="I10" s="5">
        <v>18</v>
      </c>
      <c r="J10" s="5" t="s">
        <v>53</v>
      </c>
      <c r="K10" s="6">
        <v>28.17</v>
      </c>
      <c r="L10" s="6">
        <v>1.21</v>
      </c>
      <c r="M10" s="6">
        <v>25.92</v>
      </c>
      <c r="N10" s="6">
        <v>0.92</v>
      </c>
      <c r="O10" s="6"/>
      <c r="P10" s="6"/>
      <c r="Q10" s="6"/>
      <c r="R10" s="6"/>
      <c r="S10" s="6">
        <v>37.450000000000003</v>
      </c>
      <c r="T10" s="6">
        <v>6.04</v>
      </c>
      <c r="U10" s="6">
        <v>26.72</v>
      </c>
      <c r="V10" s="6">
        <v>4.6900000000000004</v>
      </c>
      <c r="W10" s="7"/>
      <c r="X10" s="7"/>
      <c r="AA10" s="5" t="s">
        <v>150</v>
      </c>
      <c r="AB10" s="5">
        <v>18</v>
      </c>
      <c r="AC10" s="5" t="s">
        <v>53</v>
      </c>
      <c r="AD10" s="6">
        <v>28.04</v>
      </c>
      <c r="AE10" s="6">
        <v>1.19</v>
      </c>
      <c r="AF10" s="6">
        <v>27.04</v>
      </c>
      <c r="AG10" s="6">
        <v>1.1100000000000001</v>
      </c>
      <c r="AH10" s="6"/>
      <c r="AI10" s="6"/>
      <c r="AJ10" s="6"/>
      <c r="AK10" s="6"/>
      <c r="AL10" s="6">
        <v>38.11</v>
      </c>
      <c r="AM10" s="6">
        <v>6.27</v>
      </c>
      <c r="AN10" s="6">
        <v>36.1</v>
      </c>
      <c r="AO10" s="6">
        <v>4.5</v>
      </c>
      <c r="AP10" s="6"/>
      <c r="AQ10" s="6"/>
      <c r="AR10" s="6"/>
      <c r="AS10" s="6"/>
      <c r="AT10" s="5">
        <v>6</v>
      </c>
    </row>
    <row r="11" spans="1:47" s="10" customFormat="1" x14ac:dyDescent="0.2">
      <c r="A11" s="19" t="s">
        <v>40</v>
      </c>
      <c r="B11" s="10">
        <v>2022</v>
      </c>
      <c r="C11" s="10" t="s">
        <v>41</v>
      </c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</row>
    <row r="12" spans="1:47" x14ac:dyDescent="0.2">
      <c r="A12" s="18" t="s">
        <v>42</v>
      </c>
      <c r="B12" s="5">
        <v>2011</v>
      </c>
      <c r="C12" s="5" t="s">
        <v>43</v>
      </c>
      <c r="D12" s="5" t="s">
        <v>151</v>
      </c>
      <c r="E12" s="5" t="s">
        <v>32</v>
      </c>
      <c r="H12" s="5" t="s">
        <v>153</v>
      </c>
      <c r="I12" s="5">
        <v>22</v>
      </c>
      <c r="J12" s="5" t="s">
        <v>53</v>
      </c>
      <c r="K12" s="6">
        <v>36</v>
      </c>
      <c r="L12" s="6">
        <v>3.07</v>
      </c>
      <c r="M12" s="6"/>
      <c r="N12" s="6"/>
      <c r="O12" s="6">
        <v>-10.3</v>
      </c>
      <c r="P12" s="6">
        <v>-1.17</v>
      </c>
      <c r="Q12" s="6"/>
      <c r="R12" s="6"/>
      <c r="S12" s="6">
        <v>44.2</v>
      </c>
      <c r="T12" s="6">
        <v>22.4</v>
      </c>
      <c r="U12" s="6"/>
      <c r="V12" s="6"/>
      <c r="W12" s="7"/>
      <c r="X12" s="7"/>
      <c r="Y12" s="5">
        <v>-31.5</v>
      </c>
      <c r="Z12" s="5">
        <v>4.25</v>
      </c>
      <c r="AA12" s="5" t="s">
        <v>84</v>
      </c>
      <c r="AB12" s="5">
        <v>23</v>
      </c>
      <c r="AC12" s="5" t="s">
        <v>53</v>
      </c>
      <c r="AD12" s="6" t="s">
        <v>154</v>
      </c>
      <c r="AE12" s="6">
        <v>3.14</v>
      </c>
      <c r="AF12" s="6"/>
      <c r="AG12" s="6"/>
      <c r="AH12" s="6">
        <v>-4.2</v>
      </c>
      <c r="AI12" s="6">
        <v>1.1499999999999999</v>
      </c>
      <c r="AJ12" s="6"/>
      <c r="AK12" s="6"/>
      <c r="AL12" s="6">
        <v>45.2</v>
      </c>
      <c r="AM12" s="6">
        <v>34.25</v>
      </c>
      <c r="AN12" s="6"/>
      <c r="AO12" s="6"/>
      <c r="AP12" s="6">
        <v>-16.600000000000001</v>
      </c>
      <c r="AQ12" s="6">
        <v>4.1500000000000004</v>
      </c>
      <c r="AR12" s="6"/>
      <c r="AS12" s="6"/>
      <c r="AT12" s="5">
        <v>7</v>
      </c>
      <c r="AU12" s="5" t="s">
        <v>155</v>
      </c>
    </row>
    <row r="13" spans="1:47" s="10" customFormat="1" x14ac:dyDescent="0.2">
      <c r="A13" s="19" t="s">
        <v>45</v>
      </c>
      <c r="B13" s="10">
        <v>2020</v>
      </c>
      <c r="C13" s="10" t="s">
        <v>46</v>
      </c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</row>
    <row r="14" spans="1:47" x14ac:dyDescent="0.2">
      <c r="A14" s="18" t="s">
        <v>47</v>
      </c>
      <c r="B14" s="5">
        <v>2020</v>
      </c>
      <c r="C14" s="5" t="s">
        <v>48</v>
      </c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</row>
    <row r="15" spans="1:47" s="10" customFormat="1" x14ac:dyDescent="0.2">
      <c r="A15" s="19" t="s">
        <v>50</v>
      </c>
      <c r="B15" s="10" t="s">
        <v>96</v>
      </c>
      <c r="C15" s="10" t="s">
        <v>51</v>
      </c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AD15" s="12"/>
      <c r="AE15" s="12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</row>
    <row r="16" spans="1:47" s="10" customFormat="1" x14ac:dyDescent="0.2">
      <c r="A16" s="19" t="s">
        <v>50</v>
      </c>
      <c r="B16" s="10" t="s">
        <v>97</v>
      </c>
      <c r="C16" s="10" t="s">
        <v>51</v>
      </c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</row>
    <row r="17" spans="1:18" x14ac:dyDescent="0.2">
      <c r="A17" s="18" t="s">
        <v>110</v>
      </c>
      <c r="D17" s="5" t="s">
        <v>156</v>
      </c>
      <c r="E17" s="5" t="s">
        <v>32</v>
      </c>
      <c r="H17" s="5" t="s">
        <v>36</v>
      </c>
      <c r="I17" s="5">
        <v>33</v>
      </c>
      <c r="J17" s="5" t="s">
        <v>158</v>
      </c>
      <c r="K17" s="5" t="s">
        <v>161</v>
      </c>
      <c r="Q17" s="5">
        <v>-6.9</v>
      </c>
      <c r="R17" s="5" t="s">
        <v>159</v>
      </c>
    </row>
    <row r="18" spans="1:18" x14ac:dyDescent="0.2">
      <c r="H18" s="5" t="s">
        <v>157</v>
      </c>
      <c r="I18" s="5">
        <v>33</v>
      </c>
      <c r="J18" s="5" t="s">
        <v>158</v>
      </c>
      <c r="K18" s="5" t="s">
        <v>162</v>
      </c>
      <c r="Q18" s="5">
        <v>-4.05</v>
      </c>
      <c r="R18" s="5" t="s">
        <v>160</v>
      </c>
    </row>
    <row r="20" spans="1:18" x14ac:dyDescent="0.2">
      <c r="B20" s="5" t="s">
        <v>117</v>
      </c>
      <c r="C20" s="5">
        <f>(5*(37.7-35.9))/3.92</f>
        <v>2.2959183673469443</v>
      </c>
    </row>
    <row r="22" spans="1:18" x14ac:dyDescent="0.2">
      <c r="B22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AGL check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Locke</dc:creator>
  <cp:lastModifiedBy>Brian Locke</cp:lastModifiedBy>
  <dcterms:created xsi:type="dcterms:W3CDTF">2022-10-21T21:46:17Z</dcterms:created>
  <dcterms:modified xsi:type="dcterms:W3CDTF">2023-06-25T18:44:14Z</dcterms:modified>
</cp:coreProperties>
</file>