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eu Drive\Renato\05_Doutorado\DISCIPLINAS\Doutorado-GIT\PGE381L-AdvPetrophysics\HW6\"/>
    </mc:Choice>
  </mc:AlternateContent>
  <xr:revisionPtr revIDLastSave="0" documentId="8_{CC1C3CDE-3680-4463-95BF-D0D3A378A47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V" sheetId="1" r:id="rId1"/>
    <sheet name="LORENZ" sheetId="2" r:id="rId2"/>
    <sheet name="EX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5" i="3" l="1"/>
  <c r="AI25" i="3"/>
  <c r="AJ25" i="3"/>
  <c r="AH26" i="3"/>
  <c r="AI26" i="3"/>
  <c r="AJ26" i="3"/>
  <c r="AG26" i="3"/>
  <c r="AG25" i="3"/>
  <c r="AJ23" i="3" s="1"/>
  <c r="AL23" i="3" s="1"/>
  <c r="AH19" i="3"/>
  <c r="AI19" i="3"/>
  <c r="AJ19" i="3"/>
  <c r="AK19" i="3"/>
  <c r="AH20" i="3"/>
  <c r="AI20" i="3"/>
  <c r="AJ20" i="3"/>
  <c r="AK20" i="3"/>
  <c r="AH21" i="3"/>
  <c r="AI21" i="3"/>
  <c r="AJ21" i="3"/>
  <c r="AK21" i="3"/>
  <c r="AG20" i="3"/>
  <c r="AG21" i="3"/>
  <c r="AG19" i="3"/>
  <c r="AH12" i="3"/>
  <c r="AI12" i="3"/>
  <c r="AJ12" i="3"/>
  <c r="AK12" i="3"/>
  <c r="AL12" i="3"/>
  <c r="AH13" i="3"/>
  <c r="AI13" i="3"/>
  <c r="AJ13" i="3"/>
  <c r="AK13" i="3"/>
  <c r="AL13" i="3"/>
  <c r="AH14" i="3"/>
  <c r="AI14" i="3"/>
  <c r="AJ14" i="3"/>
  <c r="AK14" i="3"/>
  <c r="AL14" i="3"/>
  <c r="AH15" i="3"/>
  <c r="AI15" i="3"/>
  <c r="AJ15" i="3"/>
  <c r="AK15" i="3"/>
  <c r="AL15" i="3"/>
  <c r="AG13" i="3"/>
  <c r="AG14" i="3"/>
  <c r="AG15" i="3"/>
  <c r="AG12" i="3"/>
  <c r="X25" i="3"/>
  <c r="Y25" i="3"/>
  <c r="Z25" i="3"/>
  <c r="X26" i="3"/>
  <c r="Y26" i="3"/>
  <c r="Z26" i="3"/>
  <c r="W26" i="3"/>
  <c r="W25" i="3"/>
  <c r="Z23" i="3" s="1"/>
  <c r="AB23" i="3" s="1"/>
  <c r="X19" i="3"/>
  <c r="Y19" i="3"/>
  <c r="Z19" i="3"/>
  <c r="AA19" i="3"/>
  <c r="X20" i="3"/>
  <c r="Y20" i="3"/>
  <c r="Z20" i="3"/>
  <c r="AA20" i="3"/>
  <c r="X21" i="3"/>
  <c r="Y21" i="3"/>
  <c r="Z21" i="3"/>
  <c r="AA21" i="3"/>
  <c r="W20" i="3"/>
  <c r="W21" i="3"/>
  <c r="W19" i="3"/>
  <c r="AH23" i="3"/>
  <c r="AH17" i="3"/>
  <c r="AH10" i="3"/>
  <c r="X12" i="3"/>
  <c r="Y12" i="3"/>
  <c r="Z12" i="3"/>
  <c r="AA12" i="3"/>
  <c r="AB12" i="3"/>
  <c r="X13" i="3"/>
  <c r="Y13" i="3"/>
  <c r="Z13" i="3"/>
  <c r="AA13" i="3"/>
  <c r="AB13" i="3"/>
  <c r="X14" i="3"/>
  <c r="Y14" i="3"/>
  <c r="Z14" i="3"/>
  <c r="AA14" i="3"/>
  <c r="AB14" i="3"/>
  <c r="X15" i="3"/>
  <c r="Y15" i="3"/>
  <c r="Z15" i="3"/>
  <c r="AA15" i="3"/>
  <c r="AB15" i="3"/>
  <c r="W13" i="3"/>
  <c r="W14" i="3"/>
  <c r="W15" i="3"/>
  <c r="W12" i="3"/>
  <c r="X23" i="3"/>
  <c r="X17" i="3"/>
  <c r="X10" i="3"/>
  <c r="R23" i="3"/>
  <c r="R17" i="3"/>
  <c r="R10" i="3"/>
  <c r="P23" i="3"/>
  <c r="P17" i="3"/>
  <c r="N25" i="3"/>
  <c r="O25" i="3"/>
  <c r="P25" i="3"/>
  <c r="Q25" i="3"/>
  <c r="R25" i="3"/>
  <c r="S25" i="3"/>
  <c r="N26" i="3"/>
  <c r="O26" i="3"/>
  <c r="P26" i="3"/>
  <c r="Q26" i="3"/>
  <c r="R26" i="3"/>
  <c r="S26" i="3"/>
  <c r="M26" i="3"/>
  <c r="M25" i="3"/>
  <c r="P10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M20" i="3"/>
  <c r="M21" i="3"/>
  <c r="M19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M13" i="3"/>
  <c r="M14" i="3"/>
  <c r="M15" i="3"/>
  <c r="M12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B30" i="3"/>
  <c r="B31" i="3"/>
  <c r="B32" i="3"/>
  <c r="B33" i="3"/>
  <c r="B29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B22" i="3"/>
  <c r="B23" i="3"/>
  <c r="B24" i="3"/>
  <c r="B25" i="3"/>
  <c r="B21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C13" i="3"/>
  <c r="D13" i="3"/>
  <c r="E13" i="3"/>
  <c r="F13" i="3"/>
  <c r="G13" i="3"/>
  <c r="B13" i="3"/>
  <c r="H31" i="2"/>
  <c r="AJ17" i="3" l="1"/>
  <c r="AL17" i="3" s="1"/>
  <c r="AJ10" i="3"/>
  <c r="AL10" i="3" s="1"/>
  <c r="Z17" i="3"/>
  <c r="AB17" i="3" s="1"/>
  <c r="Z10" i="3"/>
  <c r="AB10" i="3" s="1"/>
  <c r="E19" i="3"/>
  <c r="E11" i="3"/>
  <c r="G11" i="3" s="1"/>
  <c r="G19" i="3"/>
  <c r="E27" i="3"/>
  <c r="G27" i="3" s="1"/>
  <c r="P5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5" i="2"/>
  <c r="E4" i="2"/>
  <c r="E7" i="2"/>
  <c r="E9" i="2"/>
  <c r="E6" i="2"/>
  <c r="E11" i="2"/>
  <c r="E8" i="2"/>
  <c r="E12" i="2"/>
  <c r="E10" i="2"/>
  <c r="E14" i="2"/>
  <c r="E18" i="2"/>
  <c r="E13" i="2"/>
  <c r="E16" i="2"/>
  <c r="E15" i="2"/>
  <c r="E22" i="2"/>
  <c r="E20" i="2"/>
  <c r="E19" i="2"/>
  <c r="E17" i="2"/>
  <c r="E21" i="2"/>
  <c r="E24" i="2"/>
  <c r="E25" i="2"/>
  <c r="E27" i="2"/>
  <c r="E23" i="2"/>
  <c r="E28" i="2"/>
  <c r="E26" i="2"/>
  <c r="E29" i="2"/>
  <c r="E31" i="2"/>
  <c r="E30" i="2"/>
  <c r="E2" i="2"/>
  <c r="H43" i="1"/>
  <c r="H42" i="1"/>
  <c r="H41" i="1"/>
  <c r="H49" i="1"/>
  <c r="H48" i="1"/>
  <c r="H50" i="1" s="1"/>
  <c r="G2" i="1"/>
  <c r="H2" i="1" s="1"/>
  <c r="I2" i="1" s="1"/>
  <c r="K32" i="1"/>
  <c r="K34" i="1" s="1"/>
  <c r="L8" i="1" s="1"/>
  <c r="E32" i="1"/>
  <c r="E34" i="1" s="1"/>
  <c r="F5" i="1" s="1"/>
  <c r="N8" i="1"/>
  <c r="N27" i="1"/>
  <c r="N23" i="1"/>
  <c r="N9" i="1"/>
  <c r="N25" i="1"/>
  <c r="N12" i="1"/>
  <c r="N2" i="1"/>
  <c r="N5" i="1"/>
  <c r="N16" i="1"/>
  <c r="N11" i="1"/>
  <c r="N22" i="1"/>
  <c r="N19" i="1"/>
  <c r="N20" i="1"/>
  <c r="N13" i="1"/>
  <c r="N3" i="1"/>
  <c r="N15" i="1"/>
  <c r="N17" i="1"/>
  <c r="N31" i="1"/>
  <c r="N7" i="1"/>
  <c r="N21" i="1"/>
  <c r="N4" i="1"/>
  <c r="N24" i="1"/>
  <c r="N14" i="1"/>
  <c r="N10" i="1"/>
  <c r="N18" i="1"/>
  <c r="N29" i="1"/>
  <c r="N6" i="1"/>
  <c r="N30" i="1"/>
  <c r="N26" i="1"/>
  <c r="N28" i="1"/>
  <c r="G3" i="1" l="1"/>
  <c r="L18" i="1"/>
  <c r="L29" i="1"/>
  <c r="L11" i="1"/>
  <c r="L31" i="1"/>
  <c r="L17" i="1"/>
  <c r="L16" i="1"/>
  <c r="L2" i="1"/>
  <c r="L28" i="1"/>
  <c r="L24" i="1"/>
  <c r="L13" i="1"/>
  <c r="L12" i="1"/>
  <c r="L10" i="1"/>
  <c r="L15" i="1"/>
  <c r="L5" i="1"/>
  <c r="L14" i="1"/>
  <c r="L3" i="1"/>
  <c r="L26" i="1"/>
  <c r="L4" i="1"/>
  <c r="L20" i="1"/>
  <c r="L25" i="1"/>
  <c r="L30" i="1"/>
  <c r="L21" i="1"/>
  <c r="L19" i="1"/>
  <c r="L9" i="1"/>
  <c r="L6" i="1"/>
  <c r="L7" i="1"/>
  <c r="L22" i="1"/>
  <c r="L23" i="1"/>
  <c r="L27" i="1"/>
  <c r="F14" i="1"/>
  <c r="F3" i="1"/>
  <c r="F28" i="1"/>
  <c r="F24" i="1"/>
  <c r="F13" i="1"/>
  <c r="F12" i="1"/>
  <c r="F2" i="1"/>
  <c r="F26" i="1"/>
  <c r="F4" i="1"/>
  <c r="F20" i="1"/>
  <c r="F25" i="1"/>
  <c r="F30" i="1"/>
  <c r="F21" i="1"/>
  <c r="F19" i="1"/>
  <c r="F9" i="1"/>
  <c r="F6" i="1"/>
  <c r="F7" i="1"/>
  <c r="F22" i="1"/>
  <c r="F23" i="1"/>
  <c r="F29" i="1"/>
  <c r="F31" i="1"/>
  <c r="F11" i="1"/>
  <c r="F27" i="1"/>
  <c r="F18" i="1"/>
  <c r="F17" i="1"/>
  <c r="F16" i="1"/>
  <c r="F8" i="1"/>
  <c r="F10" i="1"/>
  <c r="F15" i="1"/>
  <c r="N32" i="1"/>
  <c r="N34" i="1" s="1"/>
  <c r="O17" i="1" s="1"/>
  <c r="G4" i="1" l="1"/>
  <c r="H3" i="1"/>
  <c r="I3" i="1" s="1"/>
  <c r="L32" i="1"/>
  <c r="K35" i="1" s="1"/>
  <c r="K36" i="1" s="1"/>
  <c r="K37" i="1" s="1"/>
  <c r="F32" i="1"/>
  <c r="E35" i="1" s="1"/>
  <c r="E36" i="1" s="1"/>
  <c r="E37" i="1" s="1"/>
  <c r="O27" i="1"/>
  <c r="O30" i="1"/>
  <c r="O9" i="1"/>
  <c r="O11" i="1"/>
  <c r="O2" i="1"/>
  <c r="O25" i="1"/>
  <c r="O18" i="1"/>
  <c r="O20" i="1"/>
  <c r="O6" i="1"/>
  <c r="O16" i="1"/>
  <c r="O21" i="1"/>
  <c r="O23" i="1"/>
  <c r="O31" i="1"/>
  <c r="O3" i="1"/>
  <c r="O29" i="1"/>
  <c r="O14" i="1"/>
  <c r="O4" i="1"/>
  <c r="O22" i="1"/>
  <c r="O5" i="1"/>
  <c r="O26" i="1"/>
  <c r="O7" i="1"/>
  <c r="O15" i="1"/>
  <c r="O28" i="1"/>
  <c r="O8" i="1"/>
  <c r="O19" i="1"/>
  <c r="O10" i="1"/>
  <c r="O12" i="1"/>
  <c r="O13" i="1"/>
  <c r="O24" i="1"/>
  <c r="G5" i="1" l="1"/>
  <c r="H4" i="1"/>
  <c r="I4" i="1" s="1"/>
  <c r="O32" i="1"/>
  <c r="N35" i="1" s="1"/>
  <c r="N36" i="1" s="1"/>
  <c r="N37" i="1" s="1"/>
  <c r="G6" i="1" l="1"/>
  <c r="H5" i="1"/>
  <c r="I5" i="1" s="1"/>
  <c r="G7" i="1" l="1"/>
  <c r="H6" i="1"/>
  <c r="I6" i="1" s="1"/>
  <c r="G8" i="1" l="1"/>
  <c r="H7" i="1"/>
  <c r="I7" i="1" s="1"/>
  <c r="G9" i="1" l="1"/>
  <c r="H8" i="1"/>
  <c r="I8" i="1" s="1"/>
  <c r="G10" i="1" l="1"/>
  <c r="H9" i="1"/>
  <c r="I9" i="1" s="1"/>
  <c r="G11" i="1" l="1"/>
  <c r="H10" i="1"/>
  <c r="I10" i="1" s="1"/>
  <c r="G12" i="1" l="1"/>
  <c r="H11" i="1"/>
  <c r="I11" i="1" s="1"/>
  <c r="G13" i="1" l="1"/>
  <c r="H12" i="1"/>
  <c r="I12" i="1" s="1"/>
  <c r="G14" i="1" l="1"/>
  <c r="H13" i="1"/>
  <c r="I13" i="1" s="1"/>
  <c r="G15" i="1" l="1"/>
  <c r="H14" i="1"/>
  <c r="I14" i="1" s="1"/>
  <c r="G16" i="1" l="1"/>
  <c r="H15" i="1"/>
  <c r="I15" i="1" s="1"/>
  <c r="G17" i="1" l="1"/>
  <c r="H16" i="1"/>
  <c r="I16" i="1" s="1"/>
  <c r="G18" i="1" l="1"/>
  <c r="H17" i="1"/>
  <c r="I17" i="1" s="1"/>
  <c r="G19" i="1" l="1"/>
  <c r="H18" i="1"/>
  <c r="I18" i="1" s="1"/>
  <c r="G20" i="1" l="1"/>
  <c r="H19" i="1"/>
  <c r="I19" i="1" s="1"/>
  <c r="G21" i="1" l="1"/>
  <c r="H20" i="1"/>
  <c r="I20" i="1" s="1"/>
  <c r="G22" i="1" l="1"/>
  <c r="H21" i="1"/>
  <c r="I21" i="1" s="1"/>
  <c r="G23" i="1" l="1"/>
  <c r="H22" i="1"/>
  <c r="I22" i="1" s="1"/>
  <c r="G24" i="1" l="1"/>
  <c r="H23" i="1"/>
  <c r="I23" i="1" s="1"/>
  <c r="G25" i="1" l="1"/>
  <c r="H24" i="1"/>
  <c r="I24" i="1" s="1"/>
  <c r="G26" i="1" l="1"/>
  <c r="H25" i="1"/>
  <c r="I25" i="1" s="1"/>
  <c r="G27" i="1" l="1"/>
  <c r="H26" i="1"/>
  <c r="I26" i="1" s="1"/>
  <c r="G28" i="1" l="1"/>
  <c r="H27" i="1"/>
  <c r="I27" i="1" s="1"/>
  <c r="G29" i="1" l="1"/>
  <c r="H28" i="1"/>
  <c r="I28" i="1" s="1"/>
  <c r="G30" i="1" l="1"/>
  <c r="H29" i="1"/>
  <c r="I29" i="1" s="1"/>
  <c r="G31" i="1" l="1"/>
  <c r="H31" i="1" s="1"/>
  <c r="I31" i="1" s="1"/>
  <c r="H30" i="1"/>
  <c r="I30" i="1" s="1"/>
</calcChain>
</file>

<file path=xl/sharedStrings.xml><?xml version="1.0" encoding="utf-8"?>
<sst xmlns="http://schemas.openxmlformats.org/spreadsheetml/2006/main" count="107" uniqueCount="45">
  <si>
    <t>Layer</t>
  </si>
  <si>
    <t>h (m)</t>
  </si>
  <si>
    <t>k (md)</t>
  </si>
  <si>
    <t>k/phi</t>
  </si>
  <si>
    <t>SUM</t>
  </si>
  <si>
    <t>MEAN</t>
  </si>
  <si>
    <t>N</t>
  </si>
  <si>
    <t>(x_i-x_mean)^2</t>
  </si>
  <si>
    <t>VARIANCE</t>
  </si>
  <si>
    <t>STDEV</t>
  </si>
  <si>
    <t>Cv</t>
  </si>
  <si>
    <t>phi</t>
  </si>
  <si>
    <t>%&gt;K</t>
  </si>
  <si>
    <t>Count</t>
  </si>
  <si>
    <t>inv.norm</t>
  </si>
  <si>
    <t>K</t>
  </si>
  <si>
    <t>k_50</t>
  </si>
  <si>
    <t>k_84.1</t>
  </si>
  <si>
    <t>Normal quartile</t>
  </si>
  <si>
    <t>V_DP=</t>
  </si>
  <si>
    <t>k50</t>
  </si>
  <si>
    <t>k84.1</t>
  </si>
  <si>
    <t>METHOD 1 - DIRECT READING</t>
  </si>
  <si>
    <t>METHOD 2 - NORMAL QUARTILES</t>
  </si>
  <si>
    <t>k.h</t>
  </si>
  <si>
    <t>sum(kihi)</t>
  </si>
  <si>
    <t>phi.h</t>
  </si>
  <si>
    <t>sum(phii.hi)</t>
  </si>
  <si>
    <t>Fraction of total storage capacity</t>
  </si>
  <si>
    <t>Fractoin of total flow capacity</t>
  </si>
  <si>
    <t>Lorenz coeff</t>
  </si>
  <si>
    <t xml:space="preserve">Porosity in West-East Direction (%) </t>
  </si>
  <si>
    <t xml:space="preserve">Location (ft) </t>
  </si>
  <si>
    <t xml:space="preserve">Porosity in </t>
  </si>
  <si>
    <t>North-</t>
  </si>
  <si>
    <t xml:space="preserve">South </t>
  </si>
  <si>
    <t xml:space="preserve">Direction </t>
  </si>
  <si>
    <t xml:space="preserve">(%) </t>
  </si>
  <si>
    <t>N=</t>
  </si>
  <si>
    <t>H=</t>
  </si>
  <si>
    <t>\gamma=</t>
  </si>
  <si>
    <t>WEST-EAST</t>
  </si>
  <si>
    <t>NORTH-SOUTH</t>
  </si>
  <si>
    <t>NE-SW</t>
  </si>
  <si>
    <t>NW-SE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</si>
</sst>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9" formatCode="0.00000"/>
    <numFmt numFmtId="171" formatCode="0.0"/>
    <numFmt numFmtId="172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1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/>
    </xf>
    <xf numFmtId="11" fontId="5" fillId="4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11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72" fontId="3" fillId="0" borderId="0" xfId="1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1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11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172" fontId="3" fillId="0" borderId="6" xfId="1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1" fontId="3" fillId="0" borderId="7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4" borderId="9" xfId="0" applyNumberFormat="1" applyFont="1" applyFill="1" applyBorder="1" applyAlignment="1">
      <alignment horizontal="center"/>
    </xf>
    <xf numFmtId="11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9" fontId="6" fillId="4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172" fontId="3" fillId="5" borderId="0" xfId="1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center"/>
    </xf>
    <xf numFmtId="0" fontId="2" fillId="4" borderId="1" xfId="0" applyFont="1" applyFill="1" applyBorder="1"/>
    <xf numFmtId="2" fontId="0" fillId="0" borderId="1" xfId="0" applyNumberFormat="1" applyBorder="1"/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3" fillId="0" borderId="0" xfId="0" applyFont="1" applyBorder="1"/>
    <xf numFmtId="0" fontId="5" fillId="4" borderId="1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3" fillId="7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2" fontId="3" fillId="3" borderId="1" xfId="0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Dykstra-Parsons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K(md)</c:v>
          </c:tx>
          <c:spPr>
            <a:ln w="25400">
              <a:noFill/>
            </a:ln>
          </c:spPr>
          <c:xVal>
            <c:numRef>
              <c:f>CV!$I$2:$I$31</c:f>
              <c:numCache>
                <c:formatCode>0.00</c:formatCode>
                <c:ptCount val="30"/>
                <c:pt idx="0">
                  <c:v>-1.8339146358159142</c:v>
                </c:pt>
                <c:pt idx="1">
                  <c:v>-1.5010859460440247</c:v>
                </c:pt>
                <c:pt idx="2">
                  <c:v>-1.2815515655446006</c:v>
                </c:pt>
                <c:pt idx="3">
                  <c:v>-1.1107716166367858</c:v>
                </c:pt>
                <c:pt idx="4">
                  <c:v>-0.96742156610170071</c:v>
                </c:pt>
                <c:pt idx="5">
                  <c:v>-0.84162123357291452</c:v>
                </c:pt>
                <c:pt idx="6">
                  <c:v>-0.72791329088164469</c:v>
                </c:pt>
                <c:pt idx="7">
                  <c:v>-0.62292572321008788</c:v>
                </c:pt>
                <c:pt idx="8">
                  <c:v>-0.52440051270804089</c:v>
                </c:pt>
                <c:pt idx="9">
                  <c:v>-0.43072729929545767</c:v>
                </c:pt>
                <c:pt idx="10">
                  <c:v>-0.34069482708779553</c:v>
                </c:pt>
                <c:pt idx="11">
                  <c:v>-0.25334710313579978</c:v>
                </c:pt>
                <c:pt idx="12">
                  <c:v>-0.16789400478810546</c:v>
                </c:pt>
                <c:pt idx="13">
                  <c:v>-8.3651733907129086E-2</c:v>
                </c:pt>
                <c:pt idx="14">
                  <c:v>0</c:v>
                </c:pt>
                <c:pt idx="15">
                  <c:v>8.3651733907129086E-2</c:v>
                </c:pt>
                <c:pt idx="16">
                  <c:v>0.16789400478810546</c:v>
                </c:pt>
                <c:pt idx="17">
                  <c:v>0.25334710313579978</c:v>
                </c:pt>
                <c:pt idx="18">
                  <c:v>0.34069482708779542</c:v>
                </c:pt>
                <c:pt idx="19">
                  <c:v>0.4307272992954575</c:v>
                </c:pt>
                <c:pt idx="20">
                  <c:v>0.52440051270804078</c:v>
                </c:pt>
                <c:pt idx="21">
                  <c:v>0.62292572321008777</c:v>
                </c:pt>
                <c:pt idx="22">
                  <c:v>0.72791329088164458</c:v>
                </c:pt>
                <c:pt idx="23">
                  <c:v>0.84162123357291474</c:v>
                </c:pt>
                <c:pt idx="24">
                  <c:v>0.96742156610170071</c:v>
                </c:pt>
                <c:pt idx="25">
                  <c:v>1.1107716166367858</c:v>
                </c:pt>
                <c:pt idx="26">
                  <c:v>1.2815515655446006</c:v>
                </c:pt>
                <c:pt idx="27">
                  <c:v>1.5010859460440253</c:v>
                </c:pt>
                <c:pt idx="28">
                  <c:v>1.8339146358159142</c:v>
                </c:pt>
                <c:pt idx="29">
                  <c:v>0</c:v>
                </c:pt>
              </c:numCache>
            </c:numRef>
          </c:xVal>
          <c:yVal>
            <c:numRef>
              <c:f>CV!$E$2:$E$37</c:f>
              <c:numCache>
                <c:formatCode>General</c:formatCode>
                <c:ptCount val="36"/>
                <c:pt idx="0">
                  <c:v>11970</c:v>
                </c:pt>
                <c:pt idx="1">
                  <c:v>5244</c:v>
                </c:pt>
                <c:pt idx="2">
                  <c:v>5075</c:v>
                </c:pt>
                <c:pt idx="3">
                  <c:v>4851</c:v>
                </c:pt>
                <c:pt idx="4">
                  <c:v>4551</c:v>
                </c:pt>
                <c:pt idx="5">
                  <c:v>4441</c:v>
                </c:pt>
                <c:pt idx="6">
                  <c:v>4380</c:v>
                </c:pt>
                <c:pt idx="7">
                  <c:v>4065</c:v>
                </c:pt>
                <c:pt idx="8">
                  <c:v>3876</c:v>
                </c:pt>
                <c:pt idx="9">
                  <c:v>3703</c:v>
                </c:pt>
                <c:pt idx="10">
                  <c:v>3636</c:v>
                </c:pt>
                <c:pt idx="11">
                  <c:v>3600</c:v>
                </c:pt>
                <c:pt idx="12">
                  <c:v>3583</c:v>
                </c:pt>
                <c:pt idx="13">
                  <c:v>3483</c:v>
                </c:pt>
                <c:pt idx="14">
                  <c:v>3482</c:v>
                </c:pt>
                <c:pt idx="15">
                  <c:v>3300</c:v>
                </c:pt>
                <c:pt idx="16">
                  <c:v>3300</c:v>
                </c:pt>
                <c:pt idx="17">
                  <c:v>3276</c:v>
                </c:pt>
                <c:pt idx="18">
                  <c:v>3000</c:v>
                </c:pt>
                <c:pt idx="19">
                  <c:v>2730</c:v>
                </c:pt>
                <c:pt idx="20">
                  <c:v>2277</c:v>
                </c:pt>
                <c:pt idx="21">
                  <c:v>2127</c:v>
                </c:pt>
                <c:pt idx="22">
                  <c:v>1893</c:v>
                </c:pt>
                <c:pt idx="23">
                  <c:v>1686</c:v>
                </c:pt>
                <c:pt idx="24">
                  <c:v>1560</c:v>
                </c:pt>
                <c:pt idx="25">
                  <c:v>1516</c:v>
                </c:pt>
                <c:pt idx="26">
                  <c:v>1500</c:v>
                </c:pt>
                <c:pt idx="27">
                  <c:v>779</c:v>
                </c:pt>
                <c:pt idx="28">
                  <c:v>27</c:v>
                </c:pt>
                <c:pt idx="29">
                  <c:v>21</c:v>
                </c:pt>
                <c:pt idx="30" formatCode="0">
                  <c:v>98932</c:v>
                </c:pt>
                <c:pt idx="31" formatCode="0">
                  <c:v>30</c:v>
                </c:pt>
                <c:pt idx="32" formatCode="0">
                  <c:v>3297.7333333333331</c:v>
                </c:pt>
                <c:pt idx="33" formatCode="0.00E+00">
                  <c:v>4643415.3057471253</c:v>
                </c:pt>
                <c:pt idx="34" formatCode="0.0">
                  <c:v>2154.8585349732648</c:v>
                </c:pt>
                <c:pt idx="35" formatCode="0.000">
                  <c:v>0.65343625974606745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A9-4EEC-9B19-15A5A008F19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trendlineType val="exp"/>
            <c:forward val="1"/>
            <c:backward val="1"/>
            <c:dispRSqr val="0"/>
            <c:dispEq val="1"/>
            <c:trendlineLbl>
              <c:layout>
                <c:manualLayout>
                  <c:x val="0.10023632103458333"/>
                  <c:y val="-0.10311960495357908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CV!$I$3:$I$28</c:f>
              <c:numCache>
                <c:formatCode>0.00</c:formatCode>
                <c:ptCount val="26"/>
                <c:pt idx="0">
                  <c:v>-1.5010859460440247</c:v>
                </c:pt>
                <c:pt idx="1">
                  <c:v>-1.2815515655446006</c:v>
                </c:pt>
                <c:pt idx="2">
                  <c:v>-1.1107716166367858</c:v>
                </c:pt>
                <c:pt idx="3">
                  <c:v>-0.96742156610170071</c:v>
                </c:pt>
                <c:pt idx="4">
                  <c:v>-0.84162123357291452</c:v>
                </c:pt>
                <c:pt idx="5">
                  <c:v>-0.72791329088164469</c:v>
                </c:pt>
                <c:pt idx="6">
                  <c:v>-0.62292572321008788</c:v>
                </c:pt>
                <c:pt idx="7">
                  <c:v>-0.52440051270804089</c:v>
                </c:pt>
                <c:pt idx="8">
                  <c:v>-0.43072729929545767</c:v>
                </c:pt>
                <c:pt idx="9">
                  <c:v>-0.34069482708779553</c:v>
                </c:pt>
                <c:pt idx="10">
                  <c:v>-0.25334710313579978</c:v>
                </c:pt>
                <c:pt idx="11">
                  <c:v>-0.16789400478810546</c:v>
                </c:pt>
                <c:pt idx="12">
                  <c:v>-8.3651733907129086E-2</c:v>
                </c:pt>
                <c:pt idx="13">
                  <c:v>0</c:v>
                </c:pt>
                <c:pt idx="14">
                  <c:v>8.3651733907129086E-2</c:v>
                </c:pt>
                <c:pt idx="15">
                  <c:v>0.16789400478810546</c:v>
                </c:pt>
                <c:pt idx="16">
                  <c:v>0.25334710313579978</c:v>
                </c:pt>
                <c:pt idx="17">
                  <c:v>0.34069482708779542</c:v>
                </c:pt>
                <c:pt idx="18">
                  <c:v>0.4307272992954575</c:v>
                </c:pt>
                <c:pt idx="19">
                  <c:v>0.52440051270804078</c:v>
                </c:pt>
                <c:pt idx="20">
                  <c:v>0.62292572321008777</c:v>
                </c:pt>
                <c:pt idx="21">
                  <c:v>0.72791329088164458</c:v>
                </c:pt>
                <c:pt idx="22">
                  <c:v>0.84162123357291474</c:v>
                </c:pt>
                <c:pt idx="23">
                  <c:v>0.96742156610170071</c:v>
                </c:pt>
                <c:pt idx="24">
                  <c:v>1.1107716166367858</c:v>
                </c:pt>
                <c:pt idx="25">
                  <c:v>1.2815515655446006</c:v>
                </c:pt>
              </c:numCache>
            </c:numRef>
          </c:xVal>
          <c:yVal>
            <c:numRef>
              <c:f>CV!$E$3:$E$28</c:f>
              <c:numCache>
                <c:formatCode>General</c:formatCode>
                <c:ptCount val="26"/>
                <c:pt idx="0">
                  <c:v>5244</c:v>
                </c:pt>
                <c:pt idx="1">
                  <c:v>5075</c:v>
                </c:pt>
                <c:pt idx="2">
                  <c:v>4851</c:v>
                </c:pt>
                <c:pt idx="3">
                  <c:v>4551</c:v>
                </c:pt>
                <c:pt idx="4">
                  <c:v>4441</c:v>
                </c:pt>
                <c:pt idx="5">
                  <c:v>4380</c:v>
                </c:pt>
                <c:pt idx="6">
                  <c:v>4065</c:v>
                </c:pt>
                <c:pt idx="7">
                  <c:v>3876</c:v>
                </c:pt>
                <c:pt idx="8">
                  <c:v>3703</c:v>
                </c:pt>
                <c:pt idx="9">
                  <c:v>3636</c:v>
                </c:pt>
                <c:pt idx="10">
                  <c:v>3600</c:v>
                </c:pt>
                <c:pt idx="11">
                  <c:v>3583</c:v>
                </c:pt>
                <c:pt idx="12">
                  <c:v>3483</c:v>
                </c:pt>
                <c:pt idx="13">
                  <c:v>3482</c:v>
                </c:pt>
                <c:pt idx="14">
                  <c:v>3300</c:v>
                </c:pt>
                <c:pt idx="15">
                  <c:v>3300</c:v>
                </c:pt>
                <c:pt idx="16">
                  <c:v>3276</c:v>
                </c:pt>
                <c:pt idx="17">
                  <c:v>3000</c:v>
                </c:pt>
                <c:pt idx="18">
                  <c:v>2730</c:v>
                </c:pt>
                <c:pt idx="19">
                  <c:v>2277</c:v>
                </c:pt>
                <c:pt idx="20">
                  <c:v>2127</c:v>
                </c:pt>
                <c:pt idx="21">
                  <c:v>1893</c:v>
                </c:pt>
                <c:pt idx="22">
                  <c:v>1686</c:v>
                </c:pt>
                <c:pt idx="23">
                  <c:v>1560</c:v>
                </c:pt>
                <c:pt idx="24">
                  <c:v>1516</c:v>
                </c:pt>
                <c:pt idx="2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A9-4EEC-9B19-15A5A008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38184"/>
        <c:axId val="548237824"/>
      </c:scatterChart>
      <c:valAx>
        <c:axId val="54823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7824"/>
        <c:crosses val="autoZero"/>
        <c:crossBetween val="midCat"/>
      </c:valAx>
      <c:valAx>
        <c:axId val="548237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8184"/>
        <c:crossesAt val="-3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LORENZ!$K$1</c:f>
              <c:strCache>
                <c:ptCount val="1"/>
                <c:pt idx="0">
                  <c:v>Fractoin of total flow 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41261093891219885"/>
                  <c:y val="6.1563378132830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LORENZ!$J$2:$J$31</c:f>
              <c:numCache>
                <c:formatCode>0.00</c:formatCode>
                <c:ptCount val="30"/>
                <c:pt idx="0">
                  <c:v>9.3177025812539657E-3</c:v>
                </c:pt>
                <c:pt idx="1">
                  <c:v>4.7188557124727713E-2</c:v>
                </c:pt>
                <c:pt idx="2">
                  <c:v>0.10817678914207797</c:v>
                </c:pt>
                <c:pt idx="3">
                  <c:v>0.17265686467188279</c:v>
                </c:pt>
                <c:pt idx="4">
                  <c:v>0.20056880307766634</c:v>
                </c:pt>
                <c:pt idx="5">
                  <c:v>0.22404794277758958</c:v>
                </c:pt>
                <c:pt idx="6">
                  <c:v>0.27756889533589091</c:v>
                </c:pt>
                <c:pt idx="7">
                  <c:v>0.32559191339881138</c:v>
                </c:pt>
                <c:pt idx="8">
                  <c:v>0.34694175397051186</c:v>
                </c:pt>
                <c:pt idx="9">
                  <c:v>0.40020831141357327</c:v>
                </c:pt>
                <c:pt idx="10">
                  <c:v>0.43546050988795221</c:v>
                </c:pt>
                <c:pt idx="11">
                  <c:v>0.48327076418116754</c:v>
                </c:pt>
                <c:pt idx="12">
                  <c:v>0.49193544769240927</c:v>
                </c:pt>
                <c:pt idx="13">
                  <c:v>0.52091715492526602</c:v>
                </c:pt>
                <c:pt idx="14">
                  <c:v>0.60041317360603697</c:v>
                </c:pt>
                <c:pt idx="15">
                  <c:v>0.61323243325296484</c:v>
                </c:pt>
                <c:pt idx="16">
                  <c:v>0.63881504355243157</c:v>
                </c:pt>
                <c:pt idx="17">
                  <c:v>0.68867743819911165</c:v>
                </c:pt>
                <c:pt idx="18">
                  <c:v>0.74134936829434894</c:v>
                </c:pt>
                <c:pt idx="19">
                  <c:v>0.76572452152009274</c:v>
                </c:pt>
                <c:pt idx="20">
                  <c:v>0.78541240016929004</c:v>
                </c:pt>
                <c:pt idx="21">
                  <c:v>0.79795749985973374</c:v>
                </c:pt>
                <c:pt idx="22">
                  <c:v>0.83027781391796296</c:v>
                </c:pt>
                <c:pt idx="23">
                  <c:v>0.8583563142373003</c:v>
                </c:pt>
                <c:pt idx="24">
                  <c:v>0.89380865819035915</c:v>
                </c:pt>
                <c:pt idx="25">
                  <c:v>0.92685887996824634</c:v>
                </c:pt>
                <c:pt idx="26">
                  <c:v>0.94868770855289519</c:v>
                </c:pt>
                <c:pt idx="27">
                  <c:v>0.97744592295030597</c:v>
                </c:pt>
                <c:pt idx="28">
                  <c:v>0.98785041235957527</c:v>
                </c:pt>
                <c:pt idx="29">
                  <c:v>1</c:v>
                </c:pt>
              </c:numCache>
            </c:numRef>
          </c:xVal>
          <c:yVal>
            <c:numRef>
              <c:f>LORENZ!$K$2:$K$31</c:f>
              <c:numCache>
                <c:formatCode>0.00</c:formatCode>
                <c:ptCount val="30"/>
                <c:pt idx="0">
                  <c:v>3.6067011324744123E-2</c:v>
                </c:pt>
                <c:pt idx="1">
                  <c:v>9.9446215033780275E-2</c:v>
                </c:pt>
                <c:pt idx="2">
                  <c:v>0.18437184909411147</c:v>
                </c:pt>
                <c:pt idx="3">
                  <c:v>0.2684168713731141</c:v>
                </c:pt>
                <c:pt idx="4">
                  <c:v>0.30429510772704427</c:v>
                </c:pt>
                <c:pt idx="5">
                  <c:v>0.3340285020008385</c:v>
                </c:pt>
                <c:pt idx="6">
                  <c:v>0.39526200533250277</c:v>
                </c:pt>
                <c:pt idx="7">
                  <c:v>0.44814158493222306</c:v>
                </c:pt>
                <c:pt idx="8">
                  <c:v>0.47161513114613679</c:v>
                </c:pt>
                <c:pt idx="9">
                  <c:v>0.52994486593841028</c:v>
                </c:pt>
                <c:pt idx="10">
                  <c:v>0.56837902569549714</c:v>
                </c:pt>
                <c:pt idx="11">
                  <c:v>0.62018721382833941</c:v>
                </c:pt>
                <c:pt idx="12">
                  <c:v>0.62910225081332893</c:v>
                </c:pt>
                <c:pt idx="13">
                  <c:v>0.65741460955384712</c:v>
                </c:pt>
                <c:pt idx="14">
                  <c:v>0.73463011367663433</c:v>
                </c:pt>
                <c:pt idx="15">
                  <c:v>0.74597718144409075</c:v>
                </c:pt>
                <c:pt idx="16">
                  <c:v>0.76857923638687131</c:v>
                </c:pt>
                <c:pt idx="17">
                  <c:v>0.81207978849253293</c:v>
                </c:pt>
                <c:pt idx="18">
                  <c:v>0.85784260257398259</c:v>
                </c:pt>
                <c:pt idx="19">
                  <c:v>0.87892390028727152</c:v>
                </c:pt>
                <c:pt idx="20">
                  <c:v>0.89524120565618182</c:v>
                </c:pt>
                <c:pt idx="21">
                  <c:v>0.9050185268686386</c:v>
                </c:pt>
                <c:pt idx="22">
                  <c:v>0.92629544201483671</c:v>
                </c:pt>
                <c:pt idx="23">
                  <c:v>0.94360599327155048</c:v>
                </c:pt>
                <c:pt idx="24">
                  <c:v>0.96324435652491025</c:v>
                </c:pt>
                <c:pt idx="25">
                  <c:v>0.98073041525197713</c:v>
                </c:pt>
                <c:pt idx="26">
                  <c:v>0.99181231453527396</c:v>
                </c:pt>
                <c:pt idx="27">
                  <c:v>0.9997972220203859</c:v>
                </c:pt>
                <c:pt idx="28">
                  <c:v>0.99989568959667841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2-49BB-8808-315AA912DED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LORENZ!$O$1:$O$2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LORENZ!$O$1:$O$2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2-49BB-8808-315AA912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98904"/>
        <c:axId val="560391704"/>
      </c:scatterChart>
      <c:valAx>
        <c:axId val="560398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1704"/>
        <c:crosses val="autoZero"/>
        <c:crossBetween val="midCat"/>
      </c:valAx>
      <c:valAx>
        <c:axId val="5603917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890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Variogram - 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('EX2'!$C$10,'EX2'!$C$11,'EX2'!$C$19,'EX2'!$C$27)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('EX2'!$G$10,'EX2'!$G$11,'EX2'!$G$19,'EX2'!$G$27)</c:f>
              <c:numCache>
                <c:formatCode>General</c:formatCode>
                <c:ptCount val="4"/>
                <c:pt idx="0">
                  <c:v>0</c:v>
                </c:pt>
                <c:pt idx="1">
                  <c:v>17.600000000000001</c:v>
                </c:pt>
                <c:pt idx="2">
                  <c:v>24.6</c:v>
                </c:pt>
                <c:pt idx="3">
                  <c:v>25.274999999999999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5-428A-8B0B-758B22B3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44352"/>
        <c:axId val="336446872"/>
      </c:scatterChart>
      <c:valAx>
        <c:axId val="3364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6872"/>
        <c:crosses val="autoZero"/>
        <c:crossBetween val="midCat"/>
      </c:valAx>
      <c:valAx>
        <c:axId val="3364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Variogram - 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('EX2'!$N$9,'EX2'!$N$10,'EX2'!$N$17,'EX2'!$N$23)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('EX2'!$R$9,'EX2'!$R$10,'EX2'!$R$17,'EX2'!$R$23)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15.25</c:v>
                </c:pt>
                <c:pt idx="2">
                  <c:v>18.642857142857142</c:v>
                </c:pt>
                <c:pt idx="3">
                  <c:v>22.321428571428573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7-4207-8B4B-F226ABAF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19872"/>
        <c:axId val="336422032"/>
      </c:scatterChart>
      <c:valAx>
        <c:axId val="3364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22032"/>
        <c:crosses val="autoZero"/>
        <c:crossBetween val="midCat"/>
      </c:valAx>
      <c:valAx>
        <c:axId val="3364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NE-SW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('EX2'!$X$9,'EX2'!$X$10,'EX2'!$X$17,'EX2'!$X$23)</c:f>
              <c:numCache>
                <c:formatCode>General</c:formatCode>
                <c:ptCount val="4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42.426406871192853</c:v>
                </c:pt>
              </c:numCache>
            </c:numRef>
          </c:xVal>
          <c:yVal>
            <c:numRef>
              <c:f>('EX2'!$AB$9,'EX2'!$AB$10,'EX2'!$AB$17,'EX2'!$AB$23)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23.041666666666668</c:v>
                </c:pt>
                <c:pt idx="2">
                  <c:v>16.033333333333335</c:v>
                </c:pt>
                <c:pt idx="3">
                  <c:v>28.5625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D-403A-A4C1-1AC5E875C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24368"/>
        <c:axId val="541523648"/>
      </c:scatterChart>
      <c:valAx>
        <c:axId val="5415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3648"/>
        <c:crosses val="autoZero"/>
        <c:crossBetween val="midCat"/>
      </c:valAx>
      <c:valAx>
        <c:axId val="5415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NW-SE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('EX2'!$AH$9,'EX2'!$AH$10,'EX2'!$AH$17,'EX2'!$AH$23)</c:f>
              <c:numCache>
                <c:formatCode>General</c:formatCode>
                <c:ptCount val="4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42.426406871192853</c:v>
                </c:pt>
              </c:numCache>
            </c:numRef>
          </c:xVal>
          <c:yVal>
            <c:numRef>
              <c:f>('EX2'!$AL$9,'EX2'!$AL$10,'EX2'!$AL$17,'EX2'!$AL$23)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21.791666666666668</c:v>
                </c:pt>
                <c:pt idx="2">
                  <c:v>26.466666666666665</c:v>
                </c:pt>
                <c:pt idx="3">
                  <c:v>28.8125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2-4176-870F-E275D667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06320"/>
        <c:axId val="646317120"/>
      </c:scatterChart>
      <c:valAx>
        <c:axId val="6463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17120"/>
        <c:crosses val="autoZero"/>
        <c:crossBetween val="midCat"/>
      </c:valAx>
      <c:valAx>
        <c:axId val="6463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0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448303026324425E-2"/>
          <c:y val="4.4860257248046397E-2"/>
          <c:w val="0.90641719457756187"/>
          <c:h val="0.86053244661806005"/>
        </c:manualLayout>
      </c:layout>
      <c:scatterChart>
        <c:scatterStyle val="smoothMarker"/>
        <c:varyColors val="0"/>
        <c:ser>
          <c:idx val="1"/>
          <c:order val="0"/>
          <c:tx>
            <c:v>NW-SE</c:v>
          </c:tx>
          <c:spPr>
            <a:ln w="19050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('EX2'!$AH$9,'EX2'!$AH$10,'EX2'!$AH$17,'EX2'!$AH$23)</c:f>
              <c:numCache>
                <c:formatCode>General</c:formatCode>
                <c:ptCount val="4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42.426406871192853</c:v>
                </c:pt>
              </c:numCache>
            </c:numRef>
          </c:xVal>
          <c:yVal>
            <c:numRef>
              <c:f>('EX2'!$AL$9,'EX2'!$AL$10,'EX2'!$AL$17,'EX2'!$AL$23)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21.791666666666668</c:v>
                </c:pt>
                <c:pt idx="2">
                  <c:v>26.466666666666665</c:v>
                </c:pt>
                <c:pt idx="3">
                  <c:v>28.8125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7-4DD5-90AE-663965D65DB0}"/>
            </c:ext>
          </c:extLst>
        </c:ser>
        <c:ser>
          <c:idx val="2"/>
          <c:order val="1"/>
          <c:tx>
            <c:v>NE-SW</c:v>
          </c:tx>
          <c:spPr>
            <a:ln w="19050" cap="rnd" cmpd="sng" algn="ctr">
              <a:solidFill>
                <a:schemeClr val="accent2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('EX2'!$X$9,'EX2'!$X$10,'EX2'!$X$17,'EX2'!$X$23)</c:f>
              <c:numCache>
                <c:formatCode>General</c:formatCode>
                <c:ptCount val="4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42.426406871192853</c:v>
                </c:pt>
              </c:numCache>
            </c:numRef>
          </c:xVal>
          <c:yVal>
            <c:numRef>
              <c:f>('EX2'!$AB$9,'EX2'!$AB$10,'EX2'!$AB$17,'EX2'!$AB$23)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23.041666666666668</c:v>
                </c:pt>
                <c:pt idx="2">
                  <c:v>16.033333333333335</c:v>
                </c:pt>
                <c:pt idx="3">
                  <c:v>28.5625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7-4DD5-90AE-663965D65DB0}"/>
            </c:ext>
          </c:extLst>
        </c:ser>
        <c:ser>
          <c:idx val="3"/>
          <c:order val="2"/>
          <c:tx>
            <c:v>W-E</c:v>
          </c:tx>
          <c:spPr>
            <a:ln w="19050" cap="rnd" cmpd="sng" algn="ctr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('EX2'!$C$10,'EX2'!$C$11,'EX2'!$C$19,'EX2'!$C$27)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('EX2'!$G$10,'EX2'!$G$11,'EX2'!$G$19,'EX2'!$G$27)</c:f>
              <c:numCache>
                <c:formatCode>General</c:formatCode>
                <c:ptCount val="4"/>
                <c:pt idx="0">
                  <c:v>0</c:v>
                </c:pt>
                <c:pt idx="1">
                  <c:v>17.600000000000001</c:v>
                </c:pt>
                <c:pt idx="2">
                  <c:v>24.6</c:v>
                </c:pt>
                <c:pt idx="3">
                  <c:v>25.274999999999999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7-4DD5-90AE-663965D65DB0}"/>
            </c:ext>
          </c:extLst>
        </c:ser>
        <c:ser>
          <c:idx val="0"/>
          <c:order val="3"/>
          <c:tx>
            <c:v>N-S</c:v>
          </c:tx>
          <c:spPr>
            <a:ln w="19050" cap="rnd" cmpd="sng" algn="ctr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('EX2'!$N$9,'EX2'!$N$10,'EX2'!$N$17,'EX2'!$N$23)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('EX2'!$R$9,'EX2'!$R$10,'EX2'!$R$17,'EX2'!$R$23)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15.25</c:v>
                </c:pt>
                <c:pt idx="2">
                  <c:v>18.642857142857142</c:v>
                </c:pt>
                <c:pt idx="3">
                  <c:v>22.321428571428573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7-4DD5-90AE-663965D6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19872"/>
        <c:axId val="336422032"/>
      </c:scatterChart>
      <c:valAx>
        <c:axId val="3364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22032"/>
        <c:crosses val="autoZero"/>
        <c:crossBetween val="midCat"/>
      </c:valAx>
      <c:valAx>
        <c:axId val="3364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34370281625432"/>
          <c:y val="0.58088766792491608"/>
          <c:w val="0.1703651201339198"/>
          <c:h val="0.294983325920847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38</xdr:row>
      <xdr:rowOff>52386</xdr:rowOff>
    </xdr:from>
    <xdr:to>
      <xdr:col>5</xdr:col>
      <xdr:colOff>742950</xdr:colOff>
      <xdr:row>57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9865D-01A2-97AA-BBB3-A60BF757A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242887</xdr:colOff>
      <xdr:row>6</xdr:row>
      <xdr:rowOff>4762</xdr:rowOff>
    </xdr:from>
    <xdr:to>
      <xdr:col>20</xdr:col>
      <xdr:colOff>371475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64F95A-79B2-2E90-2D07-0536C5F80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44823</xdr:colOff>
      <xdr:row>34</xdr:row>
      <xdr:rowOff>90768</xdr:rowOff>
    </xdr:from>
    <xdr:to>
      <xdr:col>7</xdr:col>
      <xdr:colOff>44823</xdr:colOff>
      <xdr:row>52</xdr:row>
      <xdr:rowOff>10086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B692B1-7C07-1A49-2D35-72B79B8C0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11206</xdr:colOff>
      <xdr:row>27</xdr:row>
      <xdr:rowOff>57151</xdr:rowOff>
    </xdr:from>
    <xdr:to>
      <xdr:col>17</xdr:col>
      <xdr:colOff>582706</xdr:colOff>
      <xdr:row>44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E57D42-5733-4AFD-ED9D-5E9C4DD6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761999</xdr:colOff>
      <xdr:row>27</xdr:row>
      <xdr:rowOff>1119</xdr:rowOff>
    </xdr:from>
    <xdr:to>
      <xdr:col>27</xdr:col>
      <xdr:colOff>761999</xdr:colOff>
      <xdr:row>44</xdr:row>
      <xdr:rowOff>77319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D6B367-8EAA-2094-C0ED-8DE5B483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33617</xdr:colOff>
      <xdr:row>26</xdr:row>
      <xdr:rowOff>135591</xdr:rowOff>
    </xdr:from>
    <xdr:to>
      <xdr:col>38</xdr:col>
      <xdr:colOff>33617</xdr:colOff>
      <xdr:row>44</xdr:row>
      <xdr:rowOff>54908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ACF19F-59B5-34F6-9442-297BC6D32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504264</xdr:colOff>
      <xdr:row>10</xdr:row>
      <xdr:rowOff>135589</xdr:rowOff>
    </xdr:from>
    <xdr:to>
      <xdr:col>47</xdr:col>
      <xdr:colOff>44824</xdr:colOff>
      <xdr:row>30</xdr:row>
      <xdr:rowOff>112057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EF68226-F344-F0C5-4194-AC8CE4A22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zoomScale="70" zoomScaleNormal="70" workbookViewId="0">
      <selection activeCell="J23" sqref="J23"/>
    </sheetView>
  </sheetViews>
  <sheetFormatPr defaultRowHeight="12.75" x14ac:dyDescent="0.2"/>
  <cols>
    <col min="1" max="1" width="10.42578125" style="5" bestFit="1" customWidth="1"/>
    <col min="2" max="15" width="15.42578125" style="9" customWidth="1"/>
    <col min="16" max="16" width="11.7109375" style="9" bestFit="1" customWidth="1"/>
    <col min="17" max="17" width="10.42578125" style="9" bestFit="1" customWidth="1"/>
    <col min="18" max="18" width="16.7109375" style="9" bestFit="1" customWidth="1"/>
    <col min="19" max="19" width="11" style="9" bestFit="1" customWidth="1"/>
    <col min="20" max="16384" width="9.140625" style="9"/>
  </cols>
  <sheetData>
    <row r="1" spans="1:19" s="1" customFormat="1" ht="13.5" thickBot="1" x14ac:dyDescent="0.25">
      <c r="A1" s="4"/>
      <c r="B1" s="38" t="s">
        <v>0</v>
      </c>
      <c r="C1" s="39" t="s">
        <v>1</v>
      </c>
      <c r="D1" s="31"/>
      <c r="E1" s="39" t="s">
        <v>2</v>
      </c>
      <c r="F1" s="40" t="s">
        <v>7</v>
      </c>
      <c r="G1" s="40" t="s">
        <v>13</v>
      </c>
      <c r="H1" s="40" t="s">
        <v>12</v>
      </c>
      <c r="I1" s="40" t="s">
        <v>14</v>
      </c>
      <c r="J1" s="41"/>
      <c r="K1" s="39" t="s">
        <v>11</v>
      </c>
      <c r="L1" s="40" t="s">
        <v>7</v>
      </c>
      <c r="M1" s="42"/>
      <c r="N1" s="43" t="s">
        <v>3</v>
      </c>
      <c r="O1" s="44" t="s">
        <v>7</v>
      </c>
    </row>
    <row r="2" spans="1:19" s="1" customFormat="1" x14ac:dyDescent="0.2">
      <c r="A2" s="4"/>
      <c r="B2" s="22">
        <v>8</v>
      </c>
      <c r="C2" s="23">
        <v>0.99247621210733983</v>
      </c>
      <c r="D2" s="23"/>
      <c r="E2" s="24">
        <v>11970</v>
      </c>
      <c r="F2" s="25">
        <f>(E2-$E$34)^2</f>
        <v>75208209.137777776</v>
      </c>
      <c r="G2" s="26">
        <f>1</f>
        <v>1</v>
      </c>
      <c r="H2" s="27">
        <f>+G2/30</f>
        <v>3.3333333333333333E-2</v>
      </c>
      <c r="I2" s="23">
        <f>_xlfn.NORM.S.INV(H2)</f>
        <v>-1.8339146358159142</v>
      </c>
      <c r="J2" s="25"/>
      <c r="K2" s="23">
        <v>0.28008765259015977</v>
      </c>
      <c r="L2" s="25">
        <f>(K2-$K$34)^2</f>
        <v>2.922306920513162E-4</v>
      </c>
      <c r="M2" s="23"/>
      <c r="N2" s="28">
        <f>+E2/K2</f>
        <v>42736.621515819505</v>
      </c>
      <c r="O2" s="29">
        <f>(N2-$N$34)^2</f>
        <v>1015693922.1164378</v>
      </c>
    </row>
    <row r="3" spans="1:19" s="1" customFormat="1" x14ac:dyDescent="0.2">
      <c r="A3" s="4"/>
      <c r="B3" s="22">
        <v>16</v>
      </c>
      <c r="C3" s="23">
        <v>3.9809635018847205</v>
      </c>
      <c r="D3" s="23"/>
      <c r="E3" s="24">
        <v>5244</v>
      </c>
      <c r="F3" s="25">
        <f>(E3-$E$34)^2</f>
        <v>3787953.9377777786</v>
      </c>
      <c r="G3" s="26">
        <f>+G2+1</f>
        <v>2</v>
      </c>
      <c r="H3" s="27">
        <f t="shared" ref="H3:H31" si="0">+G3/30</f>
        <v>6.6666666666666666E-2</v>
      </c>
      <c r="I3" s="23">
        <f t="shared" ref="I3:I31" si="1">_xlfn.NORM.S.INV(H3)</f>
        <v>-1.5010859460440247</v>
      </c>
      <c r="J3" s="25"/>
      <c r="K3" s="23">
        <v>0.28380636764994038</v>
      </c>
      <c r="L3" s="25">
        <f>(K3-$K$34)^2</f>
        <v>1.7891847855186195E-4</v>
      </c>
      <c r="M3" s="23"/>
      <c r="N3" s="28">
        <f>+E3/K3</f>
        <v>18477.386689463525</v>
      </c>
      <c r="O3" s="29">
        <f>(N3-$N$34)^2</f>
        <v>57923035.391874596</v>
      </c>
    </row>
    <row r="4" spans="1:19" s="1" customFormat="1" x14ac:dyDescent="0.2">
      <c r="A4" s="4"/>
      <c r="B4" s="22">
        <v>22</v>
      </c>
      <c r="C4" s="23">
        <v>5.4548153073599224</v>
      </c>
      <c r="D4" s="23"/>
      <c r="E4" s="24">
        <v>5075</v>
      </c>
      <c r="F4" s="25">
        <f>(E4-$E$34)^2</f>
        <v>3158676.8044444453</v>
      </c>
      <c r="G4" s="26">
        <f t="shared" ref="G4:G31" si="2">+G3+1</f>
        <v>3</v>
      </c>
      <c r="H4" s="27">
        <f t="shared" si="0"/>
        <v>0.1</v>
      </c>
      <c r="I4" s="23">
        <f t="shared" si="1"/>
        <v>-1.2815515655446006</v>
      </c>
      <c r="J4" s="25"/>
      <c r="K4" s="23">
        <v>0.35265554205471261</v>
      </c>
      <c r="L4" s="25">
        <f>(K4-$K$34)^2</f>
        <v>3.0772685060292096E-3</v>
      </c>
      <c r="M4" s="23"/>
      <c r="N4" s="28">
        <f>+E4/K4</f>
        <v>14390.81311591196</v>
      </c>
      <c r="O4" s="29">
        <f>(N4-$N$34)^2</f>
        <v>12419597.141085148</v>
      </c>
      <c r="S4" s="6"/>
    </row>
    <row r="5" spans="1:19" s="1" customFormat="1" x14ac:dyDescent="0.2">
      <c r="A5" s="4"/>
      <c r="B5" s="22">
        <v>9</v>
      </c>
      <c r="C5" s="23">
        <v>5.766491070969086</v>
      </c>
      <c r="D5" s="23"/>
      <c r="E5" s="24">
        <v>4851</v>
      </c>
      <c r="F5" s="25">
        <f>(E5-$E$34)^2</f>
        <v>2412637.3377777785</v>
      </c>
      <c r="G5" s="26">
        <f t="shared" si="2"/>
        <v>4</v>
      </c>
      <c r="H5" s="27">
        <f t="shared" si="0"/>
        <v>0.13333333333333333</v>
      </c>
      <c r="I5" s="23">
        <f t="shared" si="1"/>
        <v>-1.1107716166367858</v>
      </c>
      <c r="J5" s="25"/>
      <c r="K5" s="23">
        <v>0.31552926531245129</v>
      </c>
      <c r="L5" s="25">
        <f>(K5-$K$34)^2</f>
        <v>3.3660714155154479E-4</v>
      </c>
      <c r="M5" s="23"/>
      <c r="N5" s="28">
        <f>+E5/K5</f>
        <v>15374.168209710504</v>
      </c>
      <c r="O5" s="29">
        <f>(N5-$N$34)^2</f>
        <v>20317556.021282531</v>
      </c>
    </row>
    <row r="6" spans="1:19" s="1" customFormat="1" x14ac:dyDescent="0.2">
      <c r="A6" s="4"/>
      <c r="B6" s="22">
        <v>28</v>
      </c>
      <c r="C6" s="23">
        <v>2.1519974617671296</v>
      </c>
      <c r="D6" s="23"/>
      <c r="E6" s="24">
        <v>4551</v>
      </c>
      <c r="F6" s="25">
        <f>(E6-$E$34)^2</f>
        <v>1570677.3377777783</v>
      </c>
      <c r="G6" s="26">
        <f t="shared" si="2"/>
        <v>5</v>
      </c>
      <c r="H6" s="27">
        <f t="shared" si="0"/>
        <v>0.16666666666666666</v>
      </c>
      <c r="I6" s="23">
        <f t="shared" si="1"/>
        <v>-0.96742156610170071</v>
      </c>
      <c r="J6" s="25"/>
      <c r="K6" s="23">
        <v>0.32549599662051426</v>
      </c>
      <c r="L6" s="25">
        <f>(K6-$K$34)^2</f>
        <v>8.0165925166352913E-4</v>
      </c>
      <c r="M6" s="23"/>
      <c r="N6" s="28">
        <f>+E6/K6</f>
        <v>13981.738784043695</v>
      </c>
      <c r="O6" s="29">
        <f>(N6-$N$34)^2</f>
        <v>9703664.5250130538</v>
      </c>
      <c r="S6" s="6"/>
    </row>
    <row r="7" spans="1:19" s="1" customFormat="1" x14ac:dyDescent="0.2">
      <c r="A7" s="4"/>
      <c r="B7" s="22">
        <v>20</v>
      </c>
      <c r="C7" s="23">
        <v>3.9220337007967854</v>
      </c>
      <c r="D7" s="23"/>
      <c r="E7" s="24">
        <v>4441</v>
      </c>
      <c r="F7" s="25">
        <f>(E7-$E$34)^2</f>
        <v>1307058.6711111115</v>
      </c>
      <c r="G7" s="26">
        <f t="shared" si="2"/>
        <v>6</v>
      </c>
      <c r="H7" s="27">
        <f t="shared" si="0"/>
        <v>0.2</v>
      </c>
      <c r="I7" s="23">
        <f t="shared" si="1"/>
        <v>-0.84162123357291452</v>
      </c>
      <c r="J7" s="25"/>
      <c r="K7" s="23">
        <v>0.36529468685227884</v>
      </c>
      <c r="L7" s="25">
        <f>(K7-$K$34)^2</f>
        <v>4.6392824127951416E-3</v>
      </c>
      <c r="M7" s="23"/>
      <c r="N7" s="28">
        <f>+E7/K7</f>
        <v>12157.307948461597</v>
      </c>
      <c r="O7" s="29">
        <f>(N7-$N$34)^2</f>
        <v>1665750.8697544492</v>
      </c>
      <c r="P7" s="6"/>
      <c r="S7" s="6"/>
    </row>
    <row r="8" spans="1:19" s="1" customFormat="1" x14ac:dyDescent="0.2">
      <c r="A8" s="4"/>
      <c r="B8" s="22">
        <v>2</v>
      </c>
      <c r="C8" s="23">
        <v>2.6981188526677942</v>
      </c>
      <c r="D8" s="23"/>
      <c r="E8" s="24">
        <v>4380</v>
      </c>
      <c r="F8" s="25">
        <f>(E8-$E$34)^2</f>
        <v>1171301.1377777783</v>
      </c>
      <c r="G8" s="26">
        <f t="shared" si="2"/>
        <v>7</v>
      </c>
      <c r="H8" s="27">
        <f t="shared" si="0"/>
        <v>0.23333333333333334</v>
      </c>
      <c r="I8" s="23">
        <f t="shared" si="1"/>
        <v>-0.72791329088164469</v>
      </c>
      <c r="J8" s="25"/>
      <c r="K8" s="23">
        <v>0.30862716382972821</v>
      </c>
      <c r="L8" s="25">
        <f>(K8-$K$34)^2</f>
        <v>1.3098241623271312E-4</v>
      </c>
      <c r="M8" s="23"/>
      <c r="N8" s="28">
        <f>+E8/K8</f>
        <v>14191.881056900347</v>
      </c>
      <c r="O8" s="29">
        <f>(N8-$N$34)^2</f>
        <v>11057040.310389979</v>
      </c>
      <c r="P8" s="6"/>
      <c r="S8" s="9"/>
    </row>
    <row r="9" spans="1:19" s="1" customFormat="1" x14ac:dyDescent="0.2">
      <c r="A9" s="4"/>
      <c r="B9" s="22">
        <v>5</v>
      </c>
      <c r="C9" s="23">
        <v>4.7264335060259555</v>
      </c>
      <c r="D9" s="23"/>
      <c r="E9" s="24">
        <v>4065</v>
      </c>
      <c r="F9" s="25">
        <f>(E9-$E$34)^2</f>
        <v>588698.13777777809</v>
      </c>
      <c r="G9" s="26">
        <f t="shared" si="2"/>
        <v>8</v>
      </c>
      <c r="H9" s="27">
        <f t="shared" si="0"/>
        <v>0.26666666666666666</v>
      </c>
      <c r="I9" s="23">
        <f t="shared" si="1"/>
        <v>-0.62292572321008788</v>
      </c>
      <c r="J9" s="25"/>
      <c r="K9" s="23">
        <v>0.33622213659552824</v>
      </c>
      <c r="L9" s="25">
        <f>(K9-$K$34)^2</f>
        <v>1.5241003413762537E-3</v>
      </c>
      <c r="M9" s="23"/>
      <c r="N9" s="28">
        <f>+E9/K9</f>
        <v>12090.221188767689</v>
      </c>
      <c r="O9" s="29">
        <f>(N9-$N$34)^2</f>
        <v>1497081.8304747574</v>
      </c>
      <c r="P9" s="6"/>
      <c r="Q9" s="6"/>
      <c r="R9" s="7"/>
    </row>
    <row r="10" spans="1:19" s="1" customFormat="1" x14ac:dyDescent="0.2">
      <c r="A10" s="4"/>
      <c r="B10" s="22">
        <v>25</v>
      </c>
      <c r="C10" s="23">
        <v>5.2036663119163462</v>
      </c>
      <c r="D10" s="23"/>
      <c r="E10" s="24">
        <v>3876</v>
      </c>
      <c r="F10" s="25">
        <f>(E10-$E$34)^2</f>
        <v>334392.33777777804</v>
      </c>
      <c r="G10" s="26">
        <f t="shared" si="2"/>
        <v>9</v>
      </c>
      <c r="H10" s="27">
        <f t="shared" si="0"/>
        <v>0.3</v>
      </c>
      <c r="I10" s="23">
        <f t="shared" si="1"/>
        <v>-0.52440051270804089</v>
      </c>
      <c r="J10" s="25"/>
      <c r="K10" s="23">
        <v>0.30684540296189361</v>
      </c>
      <c r="L10" s="25">
        <f>(K10-$K$34)^2</f>
        <v>9.3373454941965734E-5</v>
      </c>
      <c r="M10" s="23"/>
      <c r="N10" s="28">
        <f>+E10/K10</f>
        <v>12631.768188755792</v>
      </c>
      <c r="O10" s="29">
        <f>(N10-$N$34)^2</f>
        <v>3115577.8464617939</v>
      </c>
      <c r="P10" s="6"/>
    </row>
    <row r="11" spans="1:19" s="1" customFormat="1" x14ac:dyDescent="0.2">
      <c r="A11" s="4"/>
      <c r="B11" s="22">
        <v>11</v>
      </c>
      <c r="C11" s="23">
        <v>3.418753430432484</v>
      </c>
      <c r="D11" s="23"/>
      <c r="E11" s="24">
        <v>3703</v>
      </c>
      <c r="F11" s="25">
        <f>(E11-$E$34)^2</f>
        <v>164241.07111111129</v>
      </c>
      <c r="G11" s="26">
        <f t="shared" si="2"/>
        <v>10</v>
      </c>
      <c r="H11" s="27">
        <f t="shared" si="0"/>
        <v>0.33333333333333331</v>
      </c>
      <c r="I11" s="23">
        <f t="shared" si="1"/>
        <v>-0.43072729929545767</v>
      </c>
      <c r="J11" s="25"/>
      <c r="K11" s="23">
        <v>0.30762643559679892</v>
      </c>
      <c r="L11" s="25">
        <f>(K11-$K$34)^2</f>
        <v>1.0907769440194558E-4</v>
      </c>
      <c r="M11" s="23"/>
      <c r="N11" s="28">
        <f>+E11/K11</f>
        <v>12037.327002850507</v>
      </c>
      <c r="O11" s="29">
        <f>(N11-$N$34)^2</f>
        <v>1370441.9505549839</v>
      </c>
      <c r="P11" s="6"/>
      <c r="Q11" s="6"/>
    </row>
    <row r="12" spans="1:19" s="1" customFormat="1" x14ac:dyDescent="0.2">
      <c r="A12" s="4"/>
      <c r="B12" s="22">
        <v>7</v>
      </c>
      <c r="C12" s="23">
        <v>2.1264683864194156</v>
      </c>
      <c r="D12" s="23"/>
      <c r="E12" s="24">
        <v>3636</v>
      </c>
      <c r="F12" s="25">
        <f>(E12-$E$34)^2</f>
        <v>114424.33777777792</v>
      </c>
      <c r="G12" s="26">
        <f t="shared" si="2"/>
        <v>11</v>
      </c>
      <c r="H12" s="27">
        <f t="shared" si="0"/>
        <v>0.36666666666666664</v>
      </c>
      <c r="I12" s="23">
        <f t="shared" si="1"/>
        <v>-0.34069482708779553</v>
      </c>
      <c r="J12" s="25"/>
      <c r="K12" s="23">
        <v>0.29953041763909277</v>
      </c>
      <c r="L12" s="25">
        <f>(K12-$K$34)^2</f>
        <v>5.5131452093800736E-6</v>
      </c>
      <c r="M12" s="23"/>
      <c r="N12" s="28">
        <f>+E12/K12</f>
        <v>12139.000868956999</v>
      </c>
      <c r="O12" s="29">
        <f>(N12-$N$34)^2</f>
        <v>1618830.3312251447</v>
      </c>
      <c r="P12" s="6"/>
      <c r="Q12" s="6"/>
    </row>
    <row r="13" spans="1:19" s="1" customFormat="1" x14ac:dyDescent="0.2">
      <c r="A13" s="4"/>
      <c r="B13" s="22">
        <v>15</v>
      </c>
      <c r="C13" s="23">
        <v>0.81568926914478435</v>
      </c>
      <c r="D13" s="23"/>
      <c r="E13" s="24">
        <v>3600</v>
      </c>
      <c r="F13" s="25">
        <f>(E13-$E$34)^2</f>
        <v>91365.137777777913</v>
      </c>
      <c r="G13" s="26">
        <f t="shared" si="2"/>
        <v>12</v>
      </c>
      <c r="H13" s="27">
        <f t="shared" si="0"/>
        <v>0.4</v>
      </c>
      <c r="I13" s="23">
        <f t="shared" si="1"/>
        <v>-0.25334710313579978</v>
      </c>
      <c r="J13" s="25"/>
      <c r="K13" s="23">
        <v>0.31690798459799874</v>
      </c>
      <c r="L13" s="25">
        <f>(K13-$K$34)^2</f>
        <v>3.8909833805004753E-4</v>
      </c>
      <c r="M13" s="23"/>
      <c r="N13" s="28">
        <f>+E13/K13</f>
        <v>11359.764269008998</v>
      </c>
      <c r="O13" s="29">
        <f>(N13-$N$34)^2</f>
        <v>243143.69867525334</v>
      </c>
      <c r="P13" s="6"/>
      <c r="Q13" s="6"/>
    </row>
    <row r="14" spans="1:19" s="1" customFormat="1" x14ac:dyDescent="0.2">
      <c r="A14" s="4"/>
      <c r="B14" s="22">
        <v>24</v>
      </c>
      <c r="C14" s="23">
        <v>2.0778070649757119</v>
      </c>
      <c r="D14" s="23"/>
      <c r="E14" s="24">
        <v>3583</v>
      </c>
      <c r="F14" s="25">
        <f>(E14-$E$34)^2</f>
        <v>81377.071111111232</v>
      </c>
      <c r="G14" s="26">
        <f t="shared" si="2"/>
        <v>13</v>
      </c>
      <c r="H14" s="27">
        <f t="shared" si="0"/>
        <v>0.43333333333333335</v>
      </c>
      <c r="I14" s="23">
        <f t="shared" si="1"/>
        <v>-0.16789400478810546</v>
      </c>
      <c r="J14" s="25"/>
      <c r="K14" s="23">
        <v>0.367320242986379</v>
      </c>
      <c r="L14" s="25">
        <f>(K14-$K$34)^2</f>
        <v>4.9193157754221853E-3</v>
      </c>
      <c r="M14" s="23"/>
      <c r="N14" s="28">
        <f>+E14/K14</f>
        <v>9754.4310949747069</v>
      </c>
      <c r="O14" s="29">
        <f>(N14-$N$34)^2</f>
        <v>1237071.4558324302</v>
      </c>
      <c r="P14" s="6"/>
      <c r="Q14" s="6"/>
    </row>
    <row r="15" spans="1:19" s="1" customFormat="1" x14ac:dyDescent="0.2">
      <c r="A15" s="4"/>
      <c r="B15" s="22">
        <v>17</v>
      </c>
      <c r="C15" s="23">
        <v>4.8994691809319946</v>
      </c>
      <c r="D15" s="23"/>
      <c r="E15" s="24">
        <v>3483</v>
      </c>
      <c r="F15" s="25">
        <f>(E15-$E$34)^2</f>
        <v>34323.737777777853</v>
      </c>
      <c r="G15" s="26">
        <f t="shared" si="2"/>
        <v>14</v>
      </c>
      <c r="H15" s="27">
        <f t="shared" si="0"/>
        <v>0.46666666666666667</v>
      </c>
      <c r="I15" s="23">
        <f t="shared" si="1"/>
        <v>-8.3651733907129086E-2</v>
      </c>
      <c r="J15" s="25"/>
      <c r="K15" s="23">
        <v>0.29112349053727987</v>
      </c>
      <c r="L15" s="25">
        <f>(K15-$K$34)^2</f>
        <v>3.6710491286078448E-5</v>
      </c>
      <c r="M15" s="23"/>
      <c r="N15" s="28">
        <f>+E15/K15</f>
        <v>11963.995050938645</v>
      </c>
      <c r="O15" s="29">
        <f>(N15-$N$34)^2</f>
        <v>1204126.1407996826</v>
      </c>
      <c r="P15" s="6"/>
      <c r="Q15" s="6"/>
    </row>
    <row r="16" spans="1:19" s="1" customFormat="1" x14ac:dyDescent="0.2">
      <c r="A16" s="4"/>
      <c r="B16" s="22">
        <v>10</v>
      </c>
      <c r="C16" s="23">
        <v>7.3043209025091134</v>
      </c>
      <c r="D16" s="23"/>
      <c r="E16" s="47">
        <v>3482</v>
      </c>
      <c r="F16" s="25">
        <f>(E16-$E$34)^2</f>
        <v>33954.20444444452</v>
      </c>
      <c r="G16" s="26">
        <f t="shared" si="2"/>
        <v>15</v>
      </c>
      <c r="H16" s="27">
        <f t="shared" si="0"/>
        <v>0.5</v>
      </c>
      <c r="I16" s="23">
        <f t="shared" si="1"/>
        <v>0</v>
      </c>
      <c r="J16" s="25"/>
      <c r="K16" s="23">
        <v>0.32469138093460009</v>
      </c>
      <c r="L16" s="25">
        <f>(K16-$K$34)^2</f>
        <v>7.5674354439824799E-4</v>
      </c>
      <c r="M16" s="23"/>
      <c r="N16" s="28">
        <f>+E16/K16</f>
        <v>10724.029661573772</v>
      </c>
      <c r="O16" s="29">
        <f>(N16-$N$34)^2</f>
        <v>20345.762652254492</v>
      </c>
      <c r="P16" s="6"/>
      <c r="Q16" s="6"/>
    </row>
    <row r="17" spans="1:17" s="1" customFormat="1" x14ac:dyDescent="0.2">
      <c r="A17" s="4"/>
      <c r="B17" s="22">
        <v>18</v>
      </c>
      <c r="C17" s="23">
        <v>2.8259613195958697</v>
      </c>
      <c r="D17" s="23"/>
      <c r="E17" s="24">
        <v>3300</v>
      </c>
      <c r="F17" s="25">
        <f>(E17-$E$34)^2</f>
        <v>5.1377777777787399</v>
      </c>
      <c r="G17" s="26">
        <f t="shared" si="2"/>
        <v>16</v>
      </c>
      <c r="H17" s="27">
        <f t="shared" si="0"/>
        <v>0.53333333333333333</v>
      </c>
      <c r="I17" s="23">
        <f t="shared" si="1"/>
        <v>8.3651733907129086E-2</v>
      </c>
      <c r="J17" s="25"/>
      <c r="K17" s="23">
        <v>0.30595882059673857</v>
      </c>
      <c r="L17" s="25">
        <f>(K17-$K$34)^2</f>
        <v>7.7025402908036106E-5</v>
      </c>
      <c r="M17" s="23"/>
      <c r="N17" s="28">
        <f>+E17/K17</f>
        <v>10785.765200570841</v>
      </c>
      <c r="O17" s="29">
        <f>(N17-$N$34)^2</f>
        <v>6545.3009929960053</v>
      </c>
      <c r="P17" s="6"/>
      <c r="Q17" s="6"/>
    </row>
    <row r="18" spans="1:17" s="1" customFormat="1" x14ac:dyDescent="0.2">
      <c r="A18" s="4"/>
      <c r="B18" s="22">
        <v>26</v>
      </c>
      <c r="C18" s="23">
        <v>1.6286906447883929</v>
      </c>
      <c r="D18" s="23"/>
      <c r="E18" s="24">
        <v>3300</v>
      </c>
      <c r="F18" s="25">
        <f>(E18-$E$34)^2</f>
        <v>5.1377777777787399</v>
      </c>
      <c r="G18" s="26">
        <f t="shared" si="2"/>
        <v>17</v>
      </c>
      <c r="H18" s="27">
        <f t="shared" si="0"/>
        <v>0.56666666666666665</v>
      </c>
      <c r="I18" s="23">
        <f t="shared" si="1"/>
        <v>0.16789400478810546</v>
      </c>
      <c r="J18" s="25"/>
      <c r="K18" s="23">
        <v>0.36063306948652918</v>
      </c>
      <c r="L18" s="25">
        <f>(K18-$K$34)^2</f>
        <v>4.0259863334750293E-3</v>
      </c>
      <c r="M18" s="23"/>
      <c r="N18" s="28">
        <f>+E18/K18</f>
        <v>9150.5751391533595</v>
      </c>
      <c r="O18" s="29">
        <f>(N18-$N$34)^2</f>
        <v>2944975.5138914464</v>
      </c>
      <c r="P18" s="6"/>
      <c r="Q18" s="6"/>
    </row>
    <row r="19" spans="1:17" s="1" customFormat="1" x14ac:dyDescent="0.2">
      <c r="A19" s="4"/>
      <c r="B19" s="22">
        <v>13</v>
      </c>
      <c r="C19" s="23">
        <v>4.6012192701402963</v>
      </c>
      <c r="D19" s="23"/>
      <c r="E19" s="24">
        <v>3276</v>
      </c>
      <c r="F19" s="25">
        <f>(E19-$E$34)^2</f>
        <v>472.33777777776857</v>
      </c>
      <c r="G19" s="26">
        <f t="shared" si="2"/>
        <v>18</v>
      </c>
      <c r="H19" s="27">
        <f t="shared" si="0"/>
        <v>0.6</v>
      </c>
      <c r="I19" s="23">
        <f t="shared" si="1"/>
        <v>0.25334710313579978</v>
      </c>
      <c r="J19" s="25"/>
      <c r="K19" s="23">
        <v>0.34151637272444579</v>
      </c>
      <c r="L19" s="25">
        <f>(K19-$K$34)^2</f>
        <v>1.9655003516070206E-3</v>
      </c>
      <c r="M19" s="23"/>
      <c r="N19" s="28">
        <f>+E19/K19</f>
        <v>9592.5122824001683</v>
      </c>
      <c r="O19" s="29">
        <f>(N19-$N$34)^2</f>
        <v>1623473.3917526901</v>
      </c>
      <c r="P19" s="6"/>
      <c r="Q19" s="6"/>
    </row>
    <row r="20" spans="1:17" s="1" customFormat="1" x14ac:dyDescent="0.2">
      <c r="A20" s="4"/>
      <c r="B20" s="22">
        <v>14</v>
      </c>
      <c r="C20" s="23">
        <v>4.7761462276652313</v>
      </c>
      <c r="D20" s="23"/>
      <c r="E20" s="24">
        <v>3000</v>
      </c>
      <c r="F20" s="25">
        <f>(E20-$E$34)^2</f>
        <v>88645.137777777651</v>
      </c>
      <c r="G20" s="26">
        <f t="shared" si="2"/>
        <v>19</v>
      </c>
      <c r="H20" s="27">
        <f t="shared" si="0"/>
        <v>0.6333333333333333</v>
      </c>
      <c r="I20" s="23">
        <f t="shared" si="1"/>
        <v>0.34069482708779542</v>
      </c>
      <c r="J20" s="25"/>
      <c r="K20" s="23">
        <v>0.31145889840389845</v>
      </c>
      <c r="L20" s="25">
        <f>(K20-$K$34)^2</f>
        <v>2.0381815359175222E-4</v>
      </c>
      <c r="M20" s="23"/>
      <c r="N20" s="28">
        <f>+E20/K20</f>
        <v>9632.0895481676489</v>
      </c>
      <c r="O20" s="29">
        <f>(N20-$N$34)^2</f>
        <v>1524184.5341813648</v>
      </c>
      <c r="P20" s="6"/>
      <c r="Q20" s="6"/>
    </row>
    <row r="21" spans="1:17" s="1" customFormat="1" x14ac:dyDescent="0.2">
      <c r="A21" s="4"/>
      <c r="B21" s="22">
        <v>21</v>
      </c>
      <c r="C21" s="23">
        <v>1.3690682599618849</v>
      </c>
      <c r="D21" s="23"/>
      <c r="E21" s="24">
        <v>2730</v>
      </c>
      <c r="F21" s="25">
        <f>(E21-$E$34)^2</f>
        <v>322321.13777777756</v>
      </c>
      <c r="G21" s="26">
        <f t="shared" si="2"/>
        <v>20</v>
      </c>
      <c r="H21" s="27">
        <f t="shared" si="0"/>
        <v>0.66666666666666663</v>
      </c>
      <c r="I21" s="23">
        <f t="shared" si="1"/>
        <v>0.4307272992954575</v>
      </c>
      <c r="J21" s="25"/>
      <c r="K21" s="23">
        <v>0.27934639318368959</v>
      </c>
      <c r="L21" s="25">
        <f>(K21-$K$34)^2</f>
        <v>3.18123455337132E-4</v>
      </c>
      <c r="M21" s="23"/>
      <c r="N21" s="28">
        <f>+E21/K21</f>
        <v>9772.8127751584616</v>
      </c>
      <c r="O21" s="29">
        <f>(N21-$N$34)^2</f>
        <v>1196519.7672029424</v>
      </c>
      <c r="P21" s="6"/>
      <c r="Q21" s="6"/>
    </row>
    <row r="22" spans="1:17" s="1" customFormat="1" x14ac:dyDescent="0.2">
      <c r="A22" s="4"/>
      <c r="B22" s="22">
        <v>12</v>
      </c>
      <c r="C22" s="23">
        <v>3.0495686287576262</v>
      </c>
      <c r="D22" s="23"/>
      <c r="E22" s="24">
        <v>2277</v>
      </c>
      <c r="F22" s="25">
        <f>(E22-$E$34)^2</f>
        <v>1041896.5377777773</v>
      </c>
      <c r="G22" s="26">
        <f t="shared" si="2"/>
        <v>21</v>
      </c>
      <c r="H22" s="27">
        <f t="shared" si="0"/>
        <v>0.7</v>
      </c>
      <c r="I22" s="23">
        <f t="shared" si="1"/>
        <v>0.52440051270804078</v>
      </c>
      <c r="J22" s="25"/>
      <c r="K22" s="23">
        <v>0.23845924763191348</v>
      </c>
      <c r="L22" s="25">
        <f>(K22-$K$34)^2</f>
        <v>3.4484096650529298E-3</v>
      </c>
      <c r="M22" s="23"/>
      <c r="N22" s="28">
        <f>+E22/K22</f>
        <v>9548.8014099364482</v>
      </c>
      <c r="O22" s="29">
        <f>(N22-$N$34)^2</f>
        <v>1736772.9688172967</v>
      </c>
      <c r="P22" s="6"/>
      <c r="Q22" s="6"/>
    </row>
    <row r="23" spans="1:17" s="1" customFormat="1" x14ac:dyDescent="0.2">
      <c r="A23" s="4"/>
      <c r="B23" s="22">
        <v>4</v>
      </c>
      <c r="C23" s="23">
        <v>3.2949230172851416</v>
      </c>
      <c r="D23" s="23"/>
      <c r="E23" s="24">
        <v>2127</v>
      </c>
      <c r="F23" s="25">
        <f>(E23-$E$34)^2</f>
        <v>1370616.5377777773</v>
      </c>
      <c r="G23" s="26">
        <f t="shared" si="2"/>
        <v>22</v>
      </c>
      <c r="H23" s="27">
        <f t="shared" si="0"/>
        <v>0.73333333333333328</v>
      </c>
      <c r="I23" s="23">
        <f t="shared" si="1"/>
        <v>0.62292572321008777</v>
      </c>
      <c r="J23" s="25"/>
      <c r="K23" s="23">
        <v>0.29264123861870395</v>
      </c>
      <c r="L23" s="25">
        <f>(K23-$K$34)^2</f>
        <v>2.0622227193924159E-5</v>
      </c>
      <c r="M23" s="23"/>
      <c r="N23" s="28">
        <f>+E23/K23</f>
        <v>7268.285256171187</v>
      </c>
      <c r="O23" s="29">
        <f>(N23-$N$34)^2</f>
        <v>12948360.062909814</v>
      </c>
      <c r="P23" s="6"/>
      <c r="Q23" s="6"/>
    </row>
    <row r="24" spans="1:17" s="1" customFormat="1" x14ac:dyDescent="0.2">
      <c r="A24" s="4"/>
      <c r="B24" s="22">
        <v>23</v>
      </c>
      <c r="C24" s="23">
        <v>3.0120653130132382</v>
      </c>
      <c r="D24" s="23"/>
      <c r="E24" s="24">
        <v>1893</v>
      </c>
      <c r="F24" s="25">
        <f>(E24-$E$34)^2</f>
        <v>1973275.7377777772</v>
      </c>
      <c r="G24" s="26">
        <f t="shared" si="2"/>
        <v>23</v>
      </c>
      <c r="H24" s="27">
        <f t="shared" si="0"/>
        <v>0.76666666666666672</v>
      </c>
      <c r="I24" s="23">
        <f t="shared" si="1"/>
        <v>0.72791329088164458</v>
      </c>
      <c r="J24" s="25"/>
      <c r="K24" s="23">
        <v>0.27810881193978643</v>
      </c>
      <c r="L24" s="25">
        <f>(K24-$K$34)^2</f>
        <v>3.6380209961544923E-4</v>
      </c>
      <c r="M24" s="23"/>
      <c r="N24" s="28">
        <f>+E24/K24</f>
        <v>6806.6883130975912</v>
      </c>
      <c r="O24" s="29">
        <f>(N24-$N$34)^2</f>
        <v>16483436.966910612</v>
      </c>
      <c r="P24" s="6"/>
      <c r="Q24" s="6"/>
    </row>
    <row r="25" spans="1:17" s="1" customFormat="1" x14ac:dyDescent="0.2">
      <c r="A25" s="4"/>
      <c r="B25" s="22">
        <v>6</v>
      </c>
      <c r="C25" s="23">
        <v>3.4161620422833687</v>
      </c>
      <c r="D25" s="23"/>
      <c r="E25" s="24">
        <v>1686</v>
      </c>
      <c r="F25" s="25">
        <f>(E25-$E$34)^2</f>
        <v>2597684.3377777771</v>
      </c>
      <c r="G25" s="26">
        <f t="shared" si="2"/>
        <v>24</v>
      </c>
      <c r="H25" s="27">
        <f t="shared" si="0"/>
        <v>0.8</v>
      </c>
      <c r="I25" s="23">
        <f t="shared" si="1"/>
        <v>0.84162123357291474</v>
      </c>
      <c r="J25" s="25"/>
      <c r="K25" s="23">
        <v>0.28862978213536328</v>
      </c>
      <c r="L25" s="25">
        <f>(K25-$K$34)^2</f>
        <v>7.3147423954046222E-5</v>
      </c>
      <c r="M25" s="23"/>
      <c r="N25" s="28">
        <f>+E25/K25</f>
        <v>5841.3930382599601</v>
      </c>
      <c r="O25" s="29">
        <f>(N25-$N$34)^2</f>
        <v>25253390.80378747</v>
      </c>
      <c r="P25" s="6"/>
      <c r="Q25" s="6"/>
    </row>
    <row r="26" spans="1:17" s="1" customFormat="1" x14ac:dyDescent="0.2">
      <c r="A26" s="4"/>
      <c r="B26" s="22">
        <v>30</v>
      </c>
      <c r="C26" s="23">
        <v>2.0644263103090594</v>
      </c>
      <c r="D26" s="23"/>
      <c r="E26" s="48">
        <v>1560</v>
      </c>
      <c r="F26" s="25">
        <f>(E26-$E$34)^2</f>
        <v>3019717.1377777769</v>
      </c>
      <c r="G26" s="26">
        <f t="shared" si="2"/>
        <v>25</v>
      </c>
      <c r="H26" s="49">
        <f t="shared" si="0"/>
        <v>0.83333333333333337</v>
      </c>
      <c r="I26" s="23">
        <f t="shared" si="1"/>
        <v>0.96742156610170071</v>
      </c>
      <c r="J26" s="25"/>
      <c r="K26" s="23">
        <v>0.18129255004732472</v>
      </c>
      <c r="L26" s="25">
        <f>(K26-$K$34)^2</f>
        <v>1.3430459376476502E-2</v>
      </c>
      <c r="M26" s="23"/>
      <c r="N26" s="28">
        <f>+E26/K26</f>
        <v>8604.8764805436113</v>
      </c>
      <c r="O26" s="29">
        <f>(N26-$N$34)^2</f>
        <v>5115701.9408945478</v>
      </c>
      <c r="P26" s="6"/>
      <c r="Q26" s="6"/>
    </row>
    <row r="27" spans="1:17" s="1" customFormat="1" x14ac:dyDescent="0.2">
      <c r="A27" s="4"/>
      <c r="B27" s="22">
        <v>3</v>
      </c>
      <c r="C27" s="23">
        <v>2.4077927253838602</v>
      </c>
      <c r="D27" s="23"/>
      <c r="E27" s="48">
        <v>1516</v>
      </c>
      <c r="F27" s="25">
        <f>(E27-$E$34)^2</f>
        <v>3174573.6711111101</v>
      </c>
      <c r="G27" s="26">
        <f t="shared" si="2"/>
        <v>26</v>
      </c>
      <c r="H27" s="49">
        <f t="shared" si="0"/>
        <v>0.8666666666666667</v>
      </c>
      <c r="I27" s="23">
        <f t="shared" si="1"/>
        <v>1.1107716166367858</v>
      </c>
      <c r="J27" s="25"/>
      <c r="K27" s="23">
        <v>0.27046841675534206</v>
      </c>
      <c r="L27" s="25">
        <f>(K27-$K$34)^2</f>
        <v>7.1363737436474367E-4</v>
      </c>
      <c r="M27" s="23"/>
      <c r="N27" s="28">
        <f>+E27/K27</f>
        <v>5605.0906726434159</v>
      </c>
      <c r="O27" s="29">
        <f>(N27-$N$34)^2</f>
        <v>27684198.445549488</v>
      </c>
      <c r="P27" s="6"/>
      <c r="Q27" s="6"/>
    </row>
    <row r="28" spans="1:17" s="1" customFormat="1" x14ac:dyDescent="0.2">
      <c r="A28" s="4"/>
      <c r="B28" s="22">
        <v>1</v>
      </c>
      <c r="C28" s="23">
        <v>4.3123909941293235</v>
      </c>
      <c r="D28" s="23"/>
      <c r="E28" s="24">
        <v>1500</v>
      </c>
      <c r="F28" s="25">
        <f>(E28-$E$34)^2</f>
        <v>3231845.1377777769</v>
      </c>
      <c r="G28" s="26">
        <f t="shared" si="2"/>
        <v>27</v>
      </c>
      <c r="H28" s="27">
        <f t="shared" si="0"/>
        <v>0.9</v>
      </c>
      <c r="I28" s="23">
        <f t="shared" si="1"/>
        <v>1.2815515655446006</v>
      </c>
      <c r="J28" s="25"/>
      <c r="K28" s="23">
        <v>0.24526300782629351</v>
      </c>
      <c r="L28" s="25">
        <f>(K28-$K$34)^2</f>
        <v>2.69562420408175E-3</v>
      </c>
      <c r="M28" s="23"/>
      <c r="N28" s="28">
        <f>+E28/K28</f>
        <v>6115.8835704337798</v>
      </c>
      <c r="O28" s="29">
        <f>(N28-$N$34)^2</f>
        <v>22569954.929849781</v>
      </c>
      <c r="P28" s="6"/>
      <c r="Q28" s="6"/>
    </row>
    <row r="29" spans="1:17" s="1" customFormat="1" x14ac:dyDescent="0.2">
      <c r="A29" s="4"/>
      <c r="B29" s="22">
        <v>27</v>
      </c>
      <c r="C29" s="23">
        <v>3.3762650374320931</v>
      </c>
      <c r="D29" s="23"/>
      <c r="E29" s="24">
        <v>779</v>
      </c>
      <c r="F29" s="25">
        <f>(E29-$E$34)^2</f>
        <v>6344017.6044444432</v>
      </c>
      <c r="G29" s="26">
        <f t="shared" si="2"/>
        <v>28</v>
      </c>
      <c r="H29" s="27">
        <f t="shared" si="0"/>
        <v>0.93333333333333335</v>
      </c>
      <c r="I29" s="23">
        <f t="shared" si="1"/>
        <v>1.5010859460440253</v>
      </c>
      <c r="J29" s="25"/>
      <c r="K29" s="23">
        <v>0.25411518163575147</v>
      </c>
      <c r="L29" s="25">
        <f>(K29-$K$34)^2</f>
        <v>1.8547860611026758E-3</v>
      </c>
      <c r="M29" s="23"/>
      <c r="N29" s="28">
        <f>+E29/K29</f>
        <v>3065.5390008008967</v>
      </c>
      <c r="O29" s="29">
        <f>(N29-$N$34)^2</f>
        <v>60857617.329943918</v>
      </c>
      <c r="P29" s="6"/>
      <c r="Q29" s="6"/>
    </row>
    <row r="30" spans="1:17" s="1" customFormat="1" x14ac:dyDescent="0.2">
      <c r="A30" s="4"/>
      <c r="B30" s="22">
        <v>29</v>
      </c>
      <c r="C30" s="23">
        <v>1.2725297987047171</v>
      </c>
      <c r="D30" s="23"/>
      <c r="E30" s="24">
        <v>27</v>
      </c>
      <c r="F30" s="25">
        <f>(E30-$E$34)^2</f>
        <v>10697696.537777776</v>
      </c>
      <c r="G30" s="26">
        <f t="shared" si="2"/>
        <v>29</v>
      </c>
      <c r="H30" s="27">
        <f t="shared" si="0"/>
        <v>0.96666666666666667</v>
      </c>
      <c r="I30" s="23">
        <f t="shared" si="1"/>
        <v>1.8339146358159142</v>
      </c>
      <c r="J30" s="25"/>
      <c r="K30" s="23">
        <v>0.28483857439463406</v>
      </c>
      <c r="L30" s="25">
        <f>(K30-$K$34)^2</f>
        <v>1.5237024939939234E-4</v>
      </c>
      <c r="M30" s="23"/>
      <c r="N30" s="28">
        <f>+E30/K30</f>
        <v>94.790531996528074</v>
      </c>
      <c r="O30" s="29">
        <f>(N30-$N$34)^2</f>
        <v>116033349.25021425</v>
      </c>
      <c r="P30" s="6"/>
      <c r="Q30" s="6"/>
    </row>
    <row r="31" spans="1:17" s="1" customFormat="1" ht="13.5" thickBot="1" x14ac:dyDescent="0.25">
      <c r="A31" s="4"/>
      <c r="B31" s="30">
        <v>19</v>
      </c>
      <c r="C31" s="31">
        <v>1.5444649395774506</v>
      </c>
      <c r="D31" s="31"/>
      <c r="E31" s="32">
        <v>21</v>
      </c>
      <c r="F31" s="33">
        <f>(E31-$E$34)^2</f>
        <v>10736981.337777777</v>
      </c>
      <c r="G31" s="34">
        <f t="shared" si="2"/>
        <v>30</v>
      </c>
      <c r="H31" s="35">
        <f t="shared" si="0"/>
        <v>1</v>
      </c>
      <c r="I31" s="31" t="e">
        <f t="shared" si="1"/>
        <v>#NUM!</v>
      </c>
      <c r="J31" s="33"/>
      <c r="K31" s="31">
        <v>0.20097773377085443</v>
      </c>
      <c r="L31" s="33">
        <f>(K31-$K$34)^2</f>
        <v>9.2553395097175802E-3</v>
      </c>
      <c r="M31" s="31"/>
      <c r="N31" s="36">
        <f>+E31/K31</f>
        <v>104.48918696607075</v>
      </c>
      <c r="O31" s="37">
        <f>(N31-$N$34)^2</f>
        <v>115824497.8636898</v>
      </c>
      <c r="P31" s="6"/>
      <c r="Q31" s="6"/>
    </row>
    <row r="32" spans="1:17" s="1" customFormat="1" x14ac:dyDescent="0.2">
      <c r="A32" s="10" t="s">
        <v>4</v>
      </c>
      <c r="B32" s="18"/>
      <c r="C32" s="18"/>
      <c r="D32" s="18"/>
      <c r="E32" s="19">
        <f>SUM(E2:E31)</f>
        <v>98932</v>
      </c>
      <c r="F32" s="19">
        <f>SUM(F2:F31)</f>
        <v>134659043.86666664</v>
      </c>
      <c r="G32" s="19"/>
      <c r="H32" s="19"/>
      <c r="I32" s="19"/>
      <c r="J32" s="20"/>
      <c r="K32" s="19">
        <f>SUM(K2:K31)</f>
        <v>8.9154722659106262</v>
      </c>
      <c r="L32" s="21">
        <f>SUM(L2:L31)</f>
        <v>5.588953357183938E-2</v>
      </c>
      <c r="M32" s="18"/>
      <c r="N32" s="19">
        <f>SUM(N2:N31)</f>
        <v>326000.04705243814</v>
      </c>
      <c r="O32" s="21">
        <f>SUM(O2:O31)</f>
        <v>1550890164.4631023</v>
      </c>
      <c r="P32" s="8"/>
    </row>
    <row r="33" spans="1:16" s="1" customFormat="1" x14ac:dyDescent="0.2">
      <c r="A33" s="13" t="s">
        <v>6</v>
      </c>
      <c r="B33" s="11"/>
      <c r="C33" s="11"/>
      <c r="D33" s="11"/>
      <c r="E33" s="14">
        <v>30</v>
      </c>
      <c r="F33" s="11"/>
      <c r="G33" s="11"/>
      <c r="H33" s="11"/>
      <c r="I33" s="11"/>
      <c r="J33" s="12"/>
      <c r="K33" s="14">
        <v>30</v>
      </c>
      <c r="L33" s="11"/>
      <c r="M33" s="11"/>
      <c r="N33" s="14">
        <v>30</v>
      </c>
      <c r="O33" s="11"/>
      <c r="P33" s="8"/>
    </row>
    <row r="34" spans="1:16" s="1" customFormat="1" x14ac:dyDescent="0.2">
      <c r="A34" s="13" t="s">
        <v>5</v>
      </c>
      <c r="B34" s="11"/>
      <c r="C34" s="11"/>
      <c r="D34" s="11"/>
      <c r="E34" s="14">
        <f>E32/E33</f>
        <v>3297.7333333333331</v>
      </c>
      <c r="F34" s="11"/>
      <c r="G34" s="11"/>
      <c r="H34" s="11"/>
      <c r="I34" s="11"/>
      <c r="J34" s="12"/>
      <c r="K34" s="15">
        <f>K32/K33</f>
        <v>0.29718240886368752</v>
      </c>
      <c r="L34" s="11"/>
      <c r="M34" s="11"/>
      <c r="N34" s="14">
        <f>N32/N33</f>
        <v>10866.668235081272</v>
      </c>
      <c r="O34" s="11"/>
      <c r="P34" s="8"/>
    </row>
    <row r="35" spans="1:16" s="1" customFormat="1" x14ac:dyDescent="0.2">
      <c r="A35" s="13" t="s">
        <v>8</v>
      </c>
      <c r="B35" s="11"/>
      <c r="C35" s="11"/>
      <c r="D35" s="11"/>
      <c r="E35" s="12">
        <f>+F32/(E33-1)</f>
        <v>4643415.3057471253</v>
      </c>
      <c r="F35" s="11"/>
      <c r="G35" s="11"/>
      <c r="H35" s="11"/>
      <c r="I35" s="11"/>
      <c r="J35" s="12"/>
      <c r="K35" s="12">
        <f>+L32/(K33-1)</f>
        <v>1.9272252955806683E-3</v>
      </c>
      <c r="L35" s="11"/>
      <c r="M35" s="11"/>
      <c r="N35" s="12">
        <f>+O32/(N33-1)</f>
        <v>53478971.188382842</v>
      </c>
      <c r="O35" s="11"/>
      <c r="P35" s="8"/>
    </row>
    <row r="36" spans="1:16" x14ac:dyDescent="0.2">
      <c r="A36" s="13" t="s">
        <v>9</v>
      </c>
      <c r="B36" s="16"/>
      <c r="C36" s="16"/>
      <c r="D36" s="16"/>
      <c r="E36" s="17">
        <f>SQRT(E35)</f>
        <v>2154.8585349732648</v>
      </c>
      <c r="F36" s="16"/>
      <c r="G36" s="16"/>
      <c r="H36" s="16"/>
      <c r="I36" s="16"/>
      <c r="J36" s="12"/>
      <c r="K36" s="17">
        <f>SQRT(K35)</f>
        <v>4.3900174209001358E-2</v>
      </c>
      <c r="L36" s="16"/>
      <c r="M36" s="16"/>
      <c r="N36" s="17">
        <f>SQRT(N35)</f>
        <v>7312.931777911157</v>
      </c>
      <c r="O36" s="16"/>
    </row>
    <row r="37" spans="1:16" x14ac:dyDescent="0.2">
      <c r="A37" s="13" t="s">
        <v>10</v>
      </c>
      <c r="B37" s="16"/>
      <c r="C37" s="16"/>
      <c r="D37" s="16"/>
      <c r="E37" s="15">
        <f>E36/E34</f>
        <v>0.65343625974606745</v>
      </c>
      <c r="F37" s="16"/>
      <c r="G37" s="16"/>
      <c r="H37" s="16"/>
      <c r="I37" s="16"/>
      <c r="J37" s="16"/>
      <c r="K37" s="15">
        <f>K36/K34</f>
        <v>0.14772130819202564</v>
      </c>
      <c r="L37" s="16"/>
      <c r="M37" s="16"/>
      <c r="N37" s="15">
        <f>N36/N34</f>
        <v>0.67296908488496465</v>
      </c>
      <c r="O37" s="16"/>
    </row>
    <row r="40" spans="1:16" x14ac:dyDescent="0.2">
      <c r="G40" s="50" t="s">
        <v>22</v>
      </c>
      <c r="H40" s="50"/>
    </row>
    <row r="41" spans="1:16" x14ac:dyDescent="0.2">
      <c r="G41" s="45" t="s">
        <v>20</v>
      </c>
      <c r="H41" s="16">
        <f>E16</f>
        <v>3482</v>
      </c>
    </row>
    <row r="42" spans="1:16" x14ac:dyDescent="0.2">
      <c r="G42" s="45" t="s">
        <v>21</v>
      </c>
      <c r="H42" s="16">
        <f>E26+(0.841-H26)*(E27-E26)/(H27-H26)</f>
        <v>1549.88</v>
      </c>
    </row>
    <row r="43" spans="1:16" x14ac:dyDescent="0.2">
      <c r="G43" s="45" t="s">
        <v>19</v>
      </c>
      <c r="H43" s="46">
        <f>+(H41-H42)/H41</f>
        <v>0.5548879954049396</v>
      </c>
    </row>
    <row r="46" spans="1:16" x14ac:dyDescent="0.2">
      <c r="G46" s="52" t="s">
        <v>23</v>
      </c>
      <c r="H46" s="53"/>
      <c r="I46" s="54"/>
    </row>
    <row r="47" spans="1:16" x14ac:dyDescent="0.2">
      <c r="G47" s="51" t="s">
        <v>18</v>
      </c>
      <c r="H47" s="51" t="s">
        <v>15</v>
      </c>
      <c r="I47" s="51"/>
    </row>
    <row r="48" spans="1:16" x14ac:dyDescent="0.2">
      <c r="G48" s="45">
        <v>0</v>
      </c>
      <c r="H48" s="17">
        <f>3016.1*EXP(-0.48801*G48)</f>
        <v>3016.1</v>
      </c>
      <c r="I48" s="16" t="s">
        <v>16</v>
      </c>
    </row>
    <row r="49" spans="7:9" x14ac:dyDescent="0.2">
      <c r="G49" s="45">
        <v>1</v>
      </c>
      <c r="H49" s="17">
        <f>3016.1*EXP(-0.48801*G49)</f>
        <v>1851.4231360605083</v>
      </c>
      <c r="I49" s="16" t="s">
        <v>17</v>
      </c>
    </row>
    <row r="50" spans="7:9" x14ac:dyDescent="0.2">
      <c r="G50" s="45" t="s">
        <v>19</v>
      </c>
      <c r="H50" s="46">
        <f>+(H48-H49)/H48</f>
        <v>0.38615326545522083</v>
      </c>
      <c r="I50" s="45"/>
    </row>
  </sheetData>
  <sortState xmlns:xlrd2="http://schemas.microsoft.com/office/spreadsheetml/2017/richdata2" ref="B2:O31">
    <sortCondition descending="1" ref="E2:E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ED4B-6386-408D-93D8-14D63586BE16}">
  <dimension ref="A1:P35"/>
  <sheetViews>
    <sheetView workbookViewId="0">
      <selection activeCell="I28" sqref="I28"/>
    </sheetView>
  </sheetViews>
  <sheetFormatPr defaultRowHeight="15" x14ac:dyDescent="0.25"/>
  <cols>
    <col min="1" max="4" width="9.28515625" style="3" bestFit="1" customWidth="1"/>
    <col min="10" max="10" width="30.28515625" bestFit="1" customWidth="1"/>
    <col min="11" max="11" width="27.5703125" bestFit="1" customWidth="1"/>
    <col min="15" max="15" width="11.85546875" bestFit="1" customWidth="1"/>
    <col min="16" max="16" width="13.7109375" bestFit="1" customWidth="1"/>
  </cols>
  <sheetData>
    <row r="1" spans="1:16" x14ac:dyDescent="0.25">
      <c r="A1" s="57" t="s">
        <v>0</v>
      </c>
      <c r="B1" s="57" t="s">
        <v>1</v>
      </c>
      <c r="C1" s="57" t="s">
        <v>2</v>
      </c>
      <c r="D1" s="57" t="s">
        <v>11</v>
      </c>
      <c r="E1" s="58" t="s">
        <v>3</v>
      </c>
      <c r="F1" s="55" t="s">
        <v>24</v>
      </c>
      <c r="G1" s="55" t="s">
        <v>25</v>
      </c>
      <c r="H1" s="55" t="s">
        <v>26</v>
      </c>
      <c r="I1" s="55" t="s">
        <v>27</v>
      </c>
      <c r="J1" s="55" t="s">
        <v>28</v>
      </c>
      <c r="K1" s="55" t="s">
        <v>29</v>
      </c>
      <c r="O1">
        <v>0</v>
      </c>
      <c r="P1">
        <v>0</v>
      </c>
    </row>
    <row r="2" spans="1:16" x14ac:dyDescent="0.25">
      <c r="A2" s="59">
        <v>8</v>
      </c>
      <c r="B2" s="60">
        <v>0.99247621210733983</v>
      </c>
      <c r="C2" s="59">
        <v>11970</v>
      </c>
      <c r="D2" s="60">
        <v>0.28008765259015977</v>
      </c>
      <c r="E2" s="61">
        <f>+C2/D2</f>
        <v>42736.621515819505</v>
      </c>
      <c r="F2" s="61">
        <f>+C2*B2</f>
        <v>11879.940258924858</v>
      </c>
      <c r="G2" s="61">
        <f>+F2</f>
        <v>11879.940258924858</v>
      </c>
      <c r="H2" s="62">
        <f>+D2*B2</f>
        <v>0.2779803325007183</v>
      </c>
      <c r="I2" s="62">
        <f>+H2</f>
        <v>0.2779803325007183</v>
      </c>
      <c r="J2" s="63">
        <f>+I2/SUM($H$2:$H$31)</f>
        <v>9.3177025812539657E-3</v>
      </c>
      <c r="K2" s="63">
        <f>+G2/SUM($F$2:$F$31)</f>
        <v>3.6067011324744123E-2</v>
      </c>
      <c r="O2">
        <v>1</v>
      </c>
      <c r="P2">
        <v>1</v>
      </c>
    </row>
    <row r="3" spans="1:16" x14ac:dyDescent="0.25">
      <c r="A3" s="59">
        <v>16</v>
      </c>
      <c r="B3" s="60">
        <v>3.9809635018847205</v>
      </c>
      <c r="C3" s="59">
        <v>5244</v>
      </c>
      <c r="D3" s="60">
        <v>0.28380636764994038</v>
      </c>
      <c r="E3" s="61">
        <f>+C3/D3</f>
        <v>18477.386689463525</v>
      </c>
      <c r="F3" s="61">
        <f t="shared" ref="F3:F31" si="0">+C3*B3</f>
        <v>20876.172603883475</v>
      </c>
      <c r="G3" s="61">
        <f>+G2+F3</f>
        <v>32756.112862808332</v>
      </c>
      <c r="H3" s="62">
        <f t="shared" ref="H3:H31" si="1">+D3*B3</f>
        <v>1.1298227912168892</v>
      </c>
      <c r="I3" s="62">
        <f>+I2+H3</f>
        <v>1.4078031237176076</v>
      </c>
      <c r="J3" s="63">
        <f t="shared" ref="J3:J31" si="2">+I3/SUM($H$2:$H$31)</f>
        <v>4.7188557124727713E-2</v>
      </c>
      <c r="K3" s="63">
        <f t="shared" ref="K3:K31" si="3">+G3/SUM($F$2:$F$31)</f>
        <v>9.9446215033780275E-2</v>
      </c>
    </row>
    <row r="4" spans="1:16" x14ac:dyDescent="0.25">
      <c r="A4" s="59">
        <v>9</v>
      </c>
      <c r="B4" s="60">
        <v>5.766491070969086</v>
      </c>
      <c r="C4" s="59">
        <v>4851</v>
      </c>
      <c r="D4" s="60">
        <v>0.31552926531245129</v>
      </c>
      <c r="E4" s="61">
        <f>+C4/D4</f>
        <v>15374.168209710504</v>
      </c>
      <c r="F4" s="61">
        <f t="shared" si="0"/>
        <v>27973.248185271037</v>
      </c>
      <c r="G4" s="61">
        <f t="shared" ref="G4:G31" si="4">+G3+F4</f>
        <v>60729.361048079372</v>
      </c>
      <c r="H4" s="62">
        <f t="shared" si="1"/>
        <v>1.8194966910536861</v>
      </c>
      <c r="I4" s="62">
        <f t="shared" ref="I4:I31" si="5">+I3+H4</f>
        <v>3.2272998147712935</v>
      </c>
      <c r="J4" s="63">
        <f t="shared" si="2"/>
        <v>0.10817678914207797</v>
      </c>
      <c r="K4" s="63">
        <f t="shared" si="3"/>
        <v>0.18437184909411147</v>
      </c>
    </row>
    <row r="5" spans="1:16" x14ac:dyDescent="0.25">
      <c r="A5" s="59">
        <v>22</v>
      </c>
      <c r="B5" s="60">
        <v>5.4548153073599224</v>
      </c>
      <c r="C5" s="59">
        <v>5075</v>
      </c>
      <c r="D5" s="60">
        <v>0.35265554205471261</v>
      </c>
      <c r="E5" s="61">
        <f>+C5/D5</f>
        <v>14390.81311591196</v>
      </c>
      <c r="F5" s="61">
        <f t="shared" si="0"/>
        <v>27683.187684851608</v>
      </c>
      <c r="G5" s="61">
        <f t="shared" si="4"/>
        <v>88412.548732930984</v>
      </c>
      <c r="H5" s="62">
        <f t="shared" si="1"/>
        <v>1.9236708490253571</v>
      </c>
      <c r="I5" s="62">
        <f t="shared" si="5"/>
        <v>5.1509706637966506</v>
      </c>
      <c r="J5" s="63">
        <f t="shared" si="2"/>
        <v>0.17265686467188279</v>
      </c>
      <c r="K5" s="63">
        <f t="shared" si="3"/>
        <v>0.2684168713731141</v>
      </c>
      <c r="O5" s="55" t="s">
        <v>30</v>
      </c>
      <c r="P5" s="56">
        <f>0.0616/4 - 0.64/3 + 1.5934/2 -0.5</f>
        <v>9.8766666666666669E-2</v>
      </c>
    </row>
    <row r="6" spans="1:16" x14ac:dyDescent="0.25">
      <c r="A6" s="59">
        <v>2</v>
      </c>
      <c r="B6" s="60">
        <v>2.6981188526677942</v>
      </c>
      <c r="C6" s="59">
        <v>4380</v>
      </c>
      <c r="D6" s="60">
        <v>0.30862716382972821</v>
      </c>
      <c r="E6" s="61">
        <f>+C6/D6</f>
        <v>14191.881056900347</v>
      </c>
      <c r="F6" s="61">
        <f t="shared" si="0"/>
        <v>11817.760574684939</v>
      </c>
      <c r="G6" s="61">
        <f t="shared" si="4"/>
        <v>100230.30930761593</v>
      </c>
      <c r="H6" s="62">
        <f t="shared" si="1"/>
        <v>0.83271276917438164</v>
      </c>
      <c r="I6" s="62">
        <f t="shared" si="5"/>
        <v>5.9836834329710324</v>
      </c>
      <c r="J6" s="63">
        <f t="shared" si="2"/>
        <v>0.20056880307766634</v>
      </c>
      <c r="K6" s="63">
        <f t="shared" si="3"/>
        <v>0.30429510772704427</v>
      </c>
    </row>
    <row r="7" spans="1:16" x14ac:dyDescent="0.25">
      <c r="A7" s="59">
        <v>28</v>
      </c>
      <c r="B7" s="60">
        <v>2.1519974617671296</v>
      </c>
      <c r="C7" s="59">
        <v>4551</v>
      </c>
      <c r="D7" s="60">
        <v>0.32549599662051426</v>
      </c>
      <c r="E7" s="61">
        <f>+C7/D7</f>
        <v>13981.738784043695</v>
      </c>
      <c r="F7" s="61">
        <f t="shared" si="0"/>
        <v>9793.7404485022071</v>
      </c>
      <c r="G7" s="61">
        <f t="shared" si="4"/>
        <v>110024.04975611814</v>
      </c>
      <c r="H7" s="62">
        <f t="shared" si="1"/>
        <v>0.70046655854270889</v>
      </c>
      <c r="I7" s="62">
        <f t="shared" si="5"/>
        <v>6.684149991513741</v>
      </c>
      <c r="J7" s="63">
        <f t="shared" si="2"/>
        <v>0.22404794277758958</v>
      </c>
      <c r="K7" s="63">
        <f t="shared" si="3"/>
        <v>0.3340285020008385</v>
      </c>
    </row>
    <row r="8" spans="1:16" x14ac:dyDescent="0.25">
      <c r="A8" s="59">
        <v>25</v>
      </c>
      <c r="B8" s="60">
        <v>5.2036663119163462</v>
      </c>
      <c r="C8" s="59">
        <v>3876</v>
      </c>
      <c r="D8" s="60">
        <v>0.30684540296189361</v>
      </c>
      <c r="E8" s="61">
        <f>+C8/D8</f>
        <v>12631.768188755792</v>
      </c>
      <c r="F8" s="61">
        <f t="shared" si="0"/>
        <v>20169.410624987759</v>
      </c>
      <c r="G8" s="61">
        <f t="shared" si="4"/>
        <v>130193.46038110589</v>
      </c>
      <c r="H8" s="62">
        <f t="shared" si="1"/>
        <v>1.5967210863592021</v>
      </c>
      <c r="I8" s="62">
        <f t="shared" si="5"/>
        <v>8.2808710778729431</v>
      </c>
      <c r="J8" s="63">
        <f t="shared" si="2"/>
        <v>0.27756889533589091</v>
      </c>
      <c r="K8" s="63">
        <f t="shared" si="3"/>
        <v>0.39526200533250277</v>
      </c>
    </row>
    <row r="9" spans="1:16" x14ac:dyDescent="0.25">
      <c r="A9" s="59">
        <v>20</v>
      </c>
      <c r="B9" s="60">
        <v>3.9220337007967854</v>
      </c>
      <c r="C9" s="59">
        <v>4441</v>
      </c>
      <c r="D9" s="60">
        <v>0.36529468685227884</v>
      </c>
      <c r="E9" s="61">
        <f>+C9/D9</f>
        <v>12157.307948461597</v>
      </c>
      <c r="F9" s="61">
        <f t="shared" si="0"/>
        <v>17417.751665238524</v>
      </c>
      <c r="G9" s="61">
        <f t="shared" si="4"/>
        <v>147611.21204634442</v>
      </c>
      <c r="H9" s="62">
        <f t="shared" si="1"/>
        <v>1.4326980725566461</v>
      </c>
      <c r="I9" s="62">
        <f t="shared" si="5"/>
        <v>9.7135691504295885</v>
      </c>
      <c r="J9" s="63">
        <f t="shared" si="2"/>
        <v>0.32559191339881138</v>
      </c>
      <c r="K9" s="63">
        <f t="shared" si="3"/>
        <v>0.44814158493222306</v>
      </c>
    </row>
    <row r="10" spans="1:16" x14ac:dyDescent="0.25">
      <c r="A10" s="59">
        <v>7</v>
      </c>
      <c r="B10" s="60">
        <v>2.1264683864194156</v>
      </c>
      <c r="C10" s="59">
        <v>3636</v>
      </c>
      <c r="D10" s="60">
        <v>0.29953041763909277</v>
      </c>
      <c r="E10" s="61">
        <f>+C10/D10</f>
        <v>12139.000868956999</v>
      </c>
      <c r="F10" s="61">
        <f t="shared" si="0"/>
        <v>7731.8390530209954</v>
      </c>
      <c r="G10" s="61">
        <f t="shared" si="4"/>
        <v>155343.0510993654</v>
      </c>
      <c r="H10" s="62">
        <f t="shared" si="1"/>
        <v>0.63694196388053526</v>
      </c>
      <c r="I10" s="62">
        <f t="shared" si="5"/>
        <v>10.350511114310123</v>
      </c>
      <c r="J10" s="63">
        <f t="shared" si="2"/>
        <v>0.34694175397051186</v>
      </c>
      <c r="K10" s="63">
        <f t="shared" si="3"/>
        <v>0.47161513114613679</v>
      </c>
    </row>
    <row r="11" spans="1:16" x14ac:dyDescent="0.25">
      <c r="A11" s="59">
        <v>5</v>
      </c>
      <c r="B11" s="60">
        <v>4.7264335060259555</v>
      </c>
      <c r="C11" s="59">
        <v>4065</v>
      </c>
      <c r="D11" s="60">
        <v>0.33622213659552824</v>
      </c>
      <c r="E11" s="61">
        <f>+C11/D11</f>
        <v>12090.221188767689</v>
      </c>
      <c r="F11" s="61">
        <f t="shared" si="0"/>
        <v>19212.952201995507</v>
      </c>
      <c r="G11" s="61">
        <f t="shared" si="4"/>
        <v>174556.00330136091</v>
      </c>
      <c r="H11" s="62">
        <f t="shared" si="1"/>
        <v>1.5891315718727403</v>
      </c>
      <c r="I11" s="62">
        <f t="shared" si="5"/>
        <v>11.939642686182864</v>
      </c>
      <c r="J11" s="63">
        <f t="shared" si="2"/>
        <v>0.40020831141357327</v>
      </c>
      <c r="K11" s="63">
        <f t="shared" si="3"/>
        <v>0.52994486593841028</v>
      </c>
    </row>
    <row r="12" spans="1:16" x14ac:dyDescent="0.25">
      <c r="A12" s="59">
        <v>11</v>
      </c>
      <c r="B12" s="60">
        <v>3.418753430432484</v>
      </c>
      <c r="C12" s="59">
        <v>3703</v>
      </c>
      <c r="D12" s="60">
        <v>0.30762643559679892</v>
      </c>
      <c r="E12" s="61">
        <f>+C12/D12</f>
        <v>12037.327002850507</v>
      </c>
      <c r="F12" s="61">
        <f t="shared" si="0"/>
        <v>12659.643952891489</v>
      </c>
      <c r="G12" s="61">
        <f t="shared" si="4"/>
        <v>187215.6472542524</v>
      </c>
      <c r="H12" s="62">
        <f t="shared" si="1"/>
        <v>1.0516989319882739</v>
      </c>
      <c r="I12" s="62">
        <f t="shared" si="5"/>
        <v>12.991341618171138</v>
      </c>
      <c r="J12" s="63">
        <f t="shared" si="2"/>
        <v>0.43546050988795221</v>
      </c>
      <c r="K12" s="63">
        <f t="shared" si="3"/>
        <v>0.56837902569549714</v>
      </c>
    </row>
    <row r="13" spans="1:16" x14ac:dyDescent="0.25">
      <c r="A13" s="59">
        <v>17</v>
      </c>
      <c r="B13" s="60">
        <v>4.8994691809319946</v>
      </c>
      <c r="C13" s="59">
        <v>3483</v>
      </c>
      <c r="D13" s="60">
        <v>0.29112349053727987</v>
      </c>
      <c r="E13" s="61">
        <f>+C13/D13</f>
        <v>11963.995050938645</v>
      </c>
      <c r="F13" s="61">
        <f t="shared" si="0"/>
        <v>17064.851157186138</v>
      </c>
      <c r="G13" s="61">
        <f t="shared" si="4"/>
        <v>204280.49841143854</v>
      </c>
      <c r="H13" s="62">
        <f t="shared" si="1"/>
        <v>1.4263505697327499</v>
      </c>
      <c r="I13" s="62">
        <f t="shared" si="5"/>
        <v>14.417692187903887</v>
      </c>
      <c r="J13" s="63">
        <f t="shared" si="2"/>
        <v>0.48327076418116754</v>
      </c>
      <c r="K13" s="63">
        <f t="shared" si="3"/>
        <v>0.62018721382833941</v>
      </c>
    </row>
    <row r="14" spans="1:16" x14ac:dyDescent="0.25">
      <c r="A14" s="59">
        <v>15</v>
      </c>
      <c r="B14" s="60">
        <v>0.81568926914478435</v>
      </c>
      <c r="C14" s="59">
        <v>3600</v>
      </c>
      <c r="D14" s="60">
        <v>0.31690798459799874</v>
      </c>
      <c r="E14" s="61">
        <f>+C14/D14</f>
        <v>11359.764269008998</v>
      </c>
      <c r="F14" s="61">
        <f t="shared" si="0"/>
        <v>2936.4813689212237</v>
      </c>
      <c r="G14" s="61">
        <f t="shared" si="4"/>
        <v>207216.97978035978</v>
      </c>
      <c r="H14" s="62">
        <f t="shared" si="1"/>
        <v>0.25849844234288816</v>
      </c>
      <c r="I14" s="62">
        <f t="shared" si="5"/>
        <v>14.676190630246776</v>
      </c>
      <c r="J14" s="63">
        <f t="shared" si="2"/>
        <v>0.49193544769240927</v>
      </c>
      <c r="K14" s="63">
        <f t="shared" si="3"/>
        <v>0.62910225081332893</v>
      </c>
    </row>
    <row r="15" spans="1:16" x14ac:dyDescent="0.25">
      <c r="A15" s="59">
        <v>18</v>
      </c>
      <c r="B15" s="60">
        <v>2.8259613195958697</v>
      </c>
      <c r="C15" s="59">
        <v>3300</v>
      </c>
      <c r="D15" s="60">
        <v>0.30595882059673857</v>
      </c>
      <c r="E15" s="61">
        <f>+C15/D15</f>
        <v>10785.765200570841</v>
      </c>
      <c r="F15" s="61">
        <f t="shared" si="0"/>
        <v>9325.6723546663707</v>
      </c>
      <c r="G15" s="61">
        <f t="shared" si="4"/>
        <v>216542.65213502615</v>
      </c>
      <c r="H15" s="62">
        <f t="shared" si="1"/>
        <v>0.86462779239555532</v>
      </c>
      <c r="I15" s="62">
        <f t="shared" si="5"/>
        <v>15.540818422642332</v>
      </c>
      <c r="J15" s="63">
        <f t="shared" si="2"/>
        <v>0.52091715492526602</v>
      </c>
      <c r="K15" s="63">
        <f t="shared" si="3"/>
        <v>0.65741460955384712</v>
      </c>
    </row>
    <row r="16" spans="1:16" x14ac:dyDescent="0.25">
      <c r="A16" s="59">
        <v>10</v>
      </c>
      <c r="B16" s="60">
        <v>7.3043209025091134</v>
      </c>
      <c r="C16" s="59">
        <v>3482</v>
      </c>
      <c r="D16" s="60">
        <v>0.32469138093460009</v>
      </c>
      <c r="E16" s="61">
        <f>+C16/D16</f>
        <v>10724.029661573772</v>
      </c>
      <c r="F16" s="61">
        <f t="shared" si="0"/>
        <v>25433.645382536732</v>
      </c>
      <c r="G16" s="61">
        <f t="shared" si="4"/>
        <v>241976.29751756287</v>
      </c>
      <c r="H16" s="62">
        <f t="shared" si="1"/>
        <v>2.3716500406251484</v>
      </c>
      <c r="I16" s="62">
        <f t="shared" si="5"/>
        <v>17.91246846326748</v>
      </c>
      <c r="J16" s="63">
        <f t="shared" si="2"/>
        <v>0.60041317360603697</v>
      </c>
      <c r="K16" s="63">
        <f t="shared" si="3"/>
        <v>0.73463011367663433</v>
      </c>
    </row>
    <row r="17" spans="1:11" x14ac:dyDescent="0.25">
      <c r="A17" s="59">
        <v>21</v>
      </c>
      <c r="B17" s="60">
        <v>1.3690682599618849</v>
      </c>
      <c r="C17" s="59">
        <v>2730</v>
      </c>
      <c r="D17" s="60">
        <v>0.27934639318368959</v>
      </c>
      <c r="E17" s="61">
        <f>+C17/D17</f>
        <v>9772.8127751584616</v>
      </c>
      <c r="F17" s="61">
        <f t="shared" si="0"/>
        <v>3737.5563496959458</v>
      </c>
      <c r="G17" s="61">
        <f t="shared" si="4"/>
        <v>245713.85386725882</v>
      </c>
      <c r="H17" s="62">
        <f t="shared" si="1"/>
        <v>0.38244428044262246</v>
      </c>
      <c r="I17" s="62">
        <f t="shared" si="5"/>
        <v>18.294912743710103</v>
      </c>
      <c r="J17" s="63">
        <f t="shared" si="2"/>
        <v>0.61323243325296484</v>
      </c>
      <c r="K17" s="63">
        <f t="shared" si="3"/>
        <v>0.74597718144409075</v>
      </c>
    </row>
    <row r="18" spans="1:11" x14ac:dyDescent="0.25">
      <c r="A18" s="59">
        <v>24</v>
      </c>
      <c r="B18" s="60">
        <v>2.0778070649757119</v>
      </c>
      <c r="C18" s="59">
        <v>3583</v>
      </c>
      <c r="D18" s="60">
        <v>0.367320242986379</v>
      </c>
      <c r="E18" s="61">
        <f>+C18/D18</f>
        <v>9754.4310949747069</v>
      </c>
      <c r="F18" s="61">
        <f t="shared" si="0"/>
        <v>7444.7827138079756</v>
      </c>
      <c r="G18" s="61">
        <f t="shared" si="4"/>
        <v>253158.63658106679</v>
      </c>
      <c r="H18" s="62">
        <f t="shared" si="1"/>
        <v>0.76322059598569347</v>
      </c>
      <c r="I18" s="62">
        <f t="shared" si="5"/>
        <v>19.058133339695797</v>
      </c>
      <c r="J18" s="63">
        <f t="shared" si="2"/>
        <v>0.63881504355243157</v>
      </c>
      <c r="K18" s="63">
        <f t="shared" si="3"/>
        <v>0.76857923638687131</v>
      </c>
    </row>
    <row r="19" spans="1:11" x14ac:dyDescent="0.25">
      <c r="A19" s="59">
        <v>14</v>
      </c>
      <c r="B19" s="60">
        <v>4.7761462276652313</v>
      </c>
      <c r="C19" s="59">
        <v>3000</v>
      </c>
      <c r="D19" s="60">
        <v>0.31145889840389845</v>
      </c>
      <c r="E19" s="61">
        <f>+C19/D19</f>
        <v>9632.0895481676489</v>
      </c>
      <c r="F19" s="61">
        <f t="shared" si="0"/>
        <v>14328.438682995695</v>
      </c>
      <c r="G19" s="61">
        <f t="shared" si="4"/>
        <v>267487.0752640625</v>
      </c>
      <c r="H19" s="62">
        <f t="shared" si="1"/>
        <v>1.487573242684548</v>
      </c>
      <c r="I19" s="62">
        <f t="shared" si="5"/>
        <v>20.545706582380344</v>
      </c>
      <c r="J19" s="63">
        <f t="shared" si="2"/>
        <v>0.68867743819911165</v>
      </c>
      <c r="K19" s="63">
        <f t="shared" si="3"/>
        <v>0.81207978849253293</v>
      </c>
    </row>
    <row r="20" spans="1:11" x14ac:dyDescent="0.25">
      <c r="A20" s="59">
        <v>13</v>
      </c>
      <c r="B20" s="60">
        <v>4.6012192701402963</v>
      </c>
      <c r="C20" s="59">
        <v>3276</v>
      </c>
      <c r="D20" s="60">
        <v>0.34151637272444579</v>
      </c>
      <c r="E20" s="61">
        <f>+C20/D20</f>
        <v>9592.5122824001683</v>
      </c>
      <c r="F20" s="61">
        <f t="shared" si="0"/>
        <v>15073.594328979611</v>
      </c>
      <c r="G20" s="61">
        <f t="shared" si="4"/>
        <v>282560.66959304211</v>
      </c>
      <c r="H20" s="62">
        <f t="shared" si="1"/>
        <v>1.5713917152481358</v>
      </c>
      <c r="I20" s="62">
        <f t="shared" si="5"/>
        <v>22.11709829762848</v>
      </c>
      <c r="J20" s="63">
        <f t="shared" si="2"/>
        <v>0.74134936829434894</v>
      </c>
      <c r="K20" s="63">
        <f t="shared" si="3"/>
        <v>0.85784260257398259</v>
      </c>
    </row>
    <row r="21" spans="1:11" x14ac:dyDescent="0.25">
      <c r="A21" s="59">
        <v>12</v>
      </c>
      <c r="B21" s="60">
        <v>3.0495686287576262</v>
      </c>
      <c r="C21" s="59">
        <v>2277</v>
      </c>
      <c r="D21" s="60">
        <v>0.23845924763191348</v>
      </c>
      <c r="E21" s="61">
        <f>+C21/D21</f>
        <v>9548.8014099364482</v>
      </c>
      <c r="F21" s="61">
        <f t="shared" si="0"/>
        <v>6943.8677676811149</v>
      </c>
      <c r="G21" s="61">
        <f t="shared" si="4"/>
        <v>289504.53736072325</v>
      </c>
      <c r="H21" s="62">
        <f t="shared" si="1"/>
        <v>0.7271978408154296</v>
      </c>
      <c r="I21" s="62">
        <f t="shared" si="5"/>
        <v>22.844296138443909</v>
      </c>
      <c r="J21" s="63">
        <f t="shared" si="2"/>
        <v>0.76572452152009274</v>
      </c>
      <c r="K21" s="63">
        <f t="shared" si="3"/>
        <v>0.87892390028727152</v>
      </c>
    </row>
    <row r="22" spans="1:11" x14ac:dyDescent="0.25">
      <c r="A22" s="59">
        <v>26</v>
      </c>
      <c r="B22" s="60">
        <v>1.6286906447883929</v>
      </c>
      <c r="C22" s="59">
        <v>3300</v>
      </c>
      <c r="D22" s="60">
        <v>0.36063306948652918</v>
      </c>
      <c r="E22" s="61">
        <f>+C22/D22</f>
        <v>9150.5751391533595</v>
      </c>
      <c r="F22" s="61">
        <f t="shared" si="0"/>
        <v>5374.6791278016963</v>
      </c>
      <c r="G22" s="61">
        <f t="shared" si="4"/>
        <v>294879.21648852492</v>
      </c>
      <c r="H22" s="62">
        <f t="shared" si="1"/>
        <v>0.58735970647403246</v>
      </c>
      <c r="I22" s="62">
        <f t="shared" si="5"/>
        <v>23.431655844917941</v>
      </c>
      <c r="J22" s="63">
        <f t="shared" si="2"/>
        <v>0.78541240016929004</v>
      </c>
      <c r="K22" s="63">
        <f t="shared" si="3"/>
        <v>0.89524120565618182</v>
      </c>
    </row>
    <row r="23" spans="1:11" x14ac:dyDescent="0.25">
      <c r="A23" s="59">
        <v>30</v>
      </c>
      <c r="B23" s="60">
        <v>2.0644263103090594</v>
      </c>
      <c r="C23" s="59">
        <v>1560</v>
      </c>
      <c r="D23" s="60">
        <v>0.18129255004732472</v>
      </c>
      <c r="E23" s="61">
        <f>+C23/D23</f>
        <v>8604.8764805436113</v>
      </c>
      <c r="F23" s="61">
        <f t="shared" si="0"/>
        <v>3220.5050440821328</v>
      </c>
      <c r="G23" s="61">
        <f t="shared" si="4"/>
        <v>298099.72153260704</v>
      </c>
      <c r="H23" s="62">
        <f t="shared" si="1"/>
        <v>0.37426511018071906</v>
      </c>
      <c r="I23" s="62">
        <f t="shared" si="5"/>
        <v>23.80592095509866</v>
      </c>
      <c r="J23" s="63">
        <f t="shared" si="2"/>
        <v>0.79795749985973374</v>
      </c>
      <c r="K23" s="63">
        <f t="shared" si="3"/>
        <v>0.9050185268686386</v>
      </c>
    </row>
    <row r="24" spans="1:11" x14ac:dyDescent="0.25">
      <c r="A24" s="59">
        <v>4</v>
      </c>
      <c r="B24" s="60">
        <v>3.2949230172851416</v>
      </c>
      <c r="C24" s="59">
        <v>2127</v>
      </c>
      <c r="D24" s="60">
        <v>0.29264123861870395</v>
      </c>
      <c r="E24" s="61">
        <f>+C24/D24</f>
        <v>7268.285256171187</v>
      </c>
      <c r="F24" s="61">
        <f t="shared" si="0"/>
        <v>7008.3012577654963</v>
      </c>
      <c r="G24" s="61">
        <f t="shared" si="4"/>
        <v>305108.02279037255</v>
      </c>
      <c r="H24" s="62">
        <f t="shared" si="1"/>
        <v>0.96423035293160109</v>
      </c>
      <c r="I24" s="62">
        <f t="shared" si="5"/>
        <v>24.770151308030261</v>
      </c>
      <c r="J24" s="63">
        <f t="shared" si="2"/>
        <v>0.83027781391796296</v>
      </c>
      <c r="K24" s="63">
        <f t="shared" si="3"/>
        <v>0.92629544201483671</v>
      </c>
    </row>
    <row r="25" spans="1:11" x14ac:dyDescent="0.25">
      <c r="A25" s="59">
        <v>23</v>
      </c>
      <c r="B25" s="60">
        <v>3.0120653130132382</v>
      </c>
      <c r="C25" s="59">
        <v>1893</v>
      </c>
      <c r="D25" s="60">
        <v>0.27810881193978643</v>
      </c>
      <c r="E25" s="61">
        <f>+C25/D25</f>
        <v>6806.6883130975912</v>
      </c>
      <c r="F25" s="61">
        <f t="shared" si="0"/>
        <v>5701.8396375340599</v>
      </c>
      <c r="G25" s="61">
        <f t="shared" si="4"/>
        <v>310809.8624279066</v>
      </c>
      <c r="H25" s="62">
        <f t="shared" si="1"/>
        <v>0.83768190568715262</v>
      </c>
      <c r="I25" s="62">
        <f t="shared" si="5"/>
        <v>25.607833213717413</v>
      </c>
      <c r="J25" s="63">
        <f t="shared" si="2"/>
        <v>0.8583563142373003</v>
      </c>
      <c r="K25" s="63">
        <f t="shared" si="3"/>
        <v>0.94360599327155048</v>
      </c>
    </row>
    <row r="26" spans="1:11" x14ac:dyDescent="0.25">
      <c r="A26" s="59">
        <v>1</v>
      </c>
      <c r="B26" s="60">
        <v>4.3123909941293235</v>
      </c>
      <c r="C26" s="59">
        <v>1500</v>
      </c>
      <c r="D26" s="60">
        <v>0.24526300782629351</v>
      </c>
      <c r="E26" s="61">
        <f>+C26/D26</f>
        <v>6115.8835704337798</v>
      </c>
      <c r="F26" s="61">
        <f t="shared" si="0"/>
        <v>6468.5864911939852</v>
      </c>
      <c r="G26" s="61">
        <f t="shared" si="4"/>
        <v>317278.44891910057</v>
      </c>
      <c r="H26" s="62">
        <f t="shared" si="1"/>
        <v>1.057669986143178</v>
      </c>
      <c r="I26" s="62">
        <f t="shared" si="5"/>
        <v>26.665503199860591</v>
      </c>
      <c r="J26" s="63">
        <f t="shared" si="2"/>
        <v>0.89380865819035915</v>
      </c>
      <c r="K26" s="63">
        <f t="shared" si="3"/>
        <v>0.96324435652491025</v>
      </c>
    </row>
    <row r="27" spans="1:11" x14ac:dyDescent="0.25">
      <c r="A27" s="59">
        <v>6</v>
      </c>
      <c r="B27" s="60">
        <v>3.4161620422833687</v>
      </c>
      <c r="C27" s="59">
        <v>1686</v>
      </c>
      <c r="D27" s="60">
        <v>0.28862978213536328</v>
      </c>
      <c r="E27" s="61">
        <f>+C27/D27</f>
        <v>5841.3930382599601</v>
      </c>
      <c r="F27" s="61">
        <f t="shared" si="0"/>
        <v>5759.6492032897595</v>
      </c>
      <c r="G27" s="61">
        <f t="shared" si="4"/>
        <v>323038.09812239034</v>
      </c>
      <c r="H27" s="62">
        <f t="shared" si="1"/>
        <v>0.98600610600334637</v>
      </c>
      <c r="I27" s="62">
        <f t="shared" si="5"/>
        <v>27.651509305863939</v>
      </c>
      <c r="J27" s="63">
        <f t="shared" si="2"/>
        <v>0.92685887996824634</v>
      </c>
      <c r="K27" s="63">
        <f t="shared" si="3"/>
        <v>0.98073041525197713</v>
      </c>
    </row>
    <row r="28" spans="1:11" x14ac:dyDescent="0.25">
      <c r="A28" s="59">
        <v>3</v>
      </c>
      <c r="B28" s="60">
        <v>2.4077927253838602</v>
      </c>
      <c r="C28" s="59">
        <v>1516</v>
      </c>
      <c r="D28" s="60">
        <v>0.27046841675534206</v>
      </c>
      <c r="E28" s="61">
        <f>+C28/D28</f>
        <v>5605.0906726434159</v>
      </c>
      <c r="F28" s="61">
        <f t="shared" si="0"/>
        <v>3650.213771681932</v>
      </c>
      <c r="G28" s="61">
        <f t="shared" si="4"/>
        <v>326688.31189407228</v>
      </c>
      <c r="H28" s="62">
        <f t="shared" si="1"/>
        <v>0.65123188630960283</v>
      </c>
      <c r="I28" s="62">
        <f t="shared" si="5"/>
        <v>28.302741192173542</v>
      </c>
      <c r="J28" s="63">
        <f t="shared" si="2"/>
        <v>0.94868770855289519</v>
      </c>
      <c r="K28" s="63">
        <f t="shared" si="3"/>
        <v>0.99181231453527396</v>
      </c>
    </row>
    <row r="29" spans="1:11" x14ac:dyDescent="0.25">
      <c r="A29" s="59">
        <v>27</v>
      </c>
      <c r="B29" s="60">
        <v>3.3762650374320931</v>
      </c>
      <c r="C29" s="59">
        <v>779</v>
      </c>
      <c r="D29" s="60">
        <v>0.25411518163575147</v>
      </c>
      <c r="E29" s="61">
        <f>+C29/D29</f>
        <v>3065.5390008008967</v>
      </c>
      <c r="F29" s="61">
        <f t="shared" si="0"/>
        <v>2630.1104641596003</v>
      </c>
      <c r="G29" s="61">
        <f t="shared" si="4"/>
        <v>329318.42235823185</v>
      </c>
      <c r="H29" s="62">
        <f t="shared" si="1"/>
        <v>0.85796020323749356</v>
      </c>
      <c r="I29" s="62">
        <f t="shared" si="5"/>
        <v>29.160701395411035</v>
      </c>
      <c r="J29" s="63">
        <f t="shared" si="2"/>
        <v>0.97744592295030597</v>
      </c>
      <c r="K29" s="63">
        <f t="shared" si="3"/>
        <v>0.9997972220203859</v>
      </c>
    </row>
    <row r="30" spans="1:11" x14ac:dyDescent="0.25">
      <c r="A30" s="59">
        <v>19</v>
      </c>
      <c r="B30" s="60">
        <v>1.5444649395774506</v>
      </c>
      <c r="C30" s="59">
        <v>21</v>
      </c>
      <c r="D30" s="60">
        <v>0.20097773377085443</v>
      </c>
      <c r="E30" s="61">
        <f>+C30/D30</f>
        <v>104.48918696607075</v>
      </c>
      <c r="F30" s="61">
        <f t="shared" si="0"/>
        <v>32.433763731126461</v>
      </c>
      <c r="G30" s="61">
        <f t="shared" si="4"/>
        <v>329350.85612196301</v>
      </c>
      <c r="H30" s="62">
        <f t="shared" si="1"/>
        <v>0.31040306344481561</v>
      </c>
      <c r="I30" s="62">
        <f t="shared" si="5"/>
        <v>29.471104458855852</v>
      </c>
      <c r="J30" s="63">
        <f t="shared" si="2"/>
        <v>0.98785041235957527</v>
      </c>
      <c r="K30" s="63">
        <f t="shared" si="3"/>
        <v>0.99989568959667841</v>
      </c>
    </row>
    <row r="31" spans="1:11" x14ac:dyDescent="0.25">
      <c r="A31" s="59">
        <v>29</v>
      </c>
      <c r="B31" s="60">
        <v>1.2725297987047171</v>
      </c>
      <c r="C31" s="59">
        <v>27</v>
      </c>
      <c r="D31" s="60">
        <v>0.28483857439463406</v>
      </c>
      <c r="E31" s="61">
        <f>+C31/D31</f>
        <v>94.790531996528074</v>
      </c>
      <c r="F31" s="61">
        <f t="shared" si="0"/>
        <v>34.35830456502736</v>
      </c>
      <c r="G31" s="61">
        <f t="shared" si="4"/>
        <v>329385.21442652802</v>
      </c>
      <c r="H31" s="62">
        <f>+D31*B31</f>
        <v>0.36246557373774224</v>
      </c>
      <c r="I31" s="62">
        <f t="shared" si="5"/>
        <v>29.833570032593595</v>
      </c>
      <c r="J31" s="63">
        <f t="shared" si="2"/>
        <v>1</v>
      </c>
      <c r="K31" s="63">
        <f t="shared" si="3"/>
        <v>1</v>
      </c>
    </row>
    <row r="32" spans="1:11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</sheetData>
  <sortState xmlns:xlrd2="http://schemas.microsoft.com/office/spreadsheetml/2017/richdata2" ref="A2:E31">
    <sortCondition descending="1" ref="E2:E31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7865-87B1-48B7-8CDE-E9B329591829}">
  <dimension ref="A1:AM33"/>
  <sheetViews>
    <sheetView tabSelected="1" topLeftCell="AB1" zoomScale="85" zoomScaleNormal="85" workbookViewId="0">
      <selection activeCell="AV13" sqref="AV13"/>
    </sheetView>
  </sheetViews>
  <sheetFormatPr defaultColWidth="11.42578125" defaultRowHeight="12.75" x14ac:dyDescent="0.2"/>
  <cols>
    <col min="1" max="12" width="11.42578125" style="64"/>
    <col min="13" max="13" width="14.28515625" style="64" bestFit="1" customWidth="1"/>
    <col min="14" max="16384" width="11.42578125" style="64"/>
  </cols>
  <sheetData>
    <row r="1" spans="1:39" x14ac:dyDescent="0.2">
      <c r="A1" s="66"/>
      <c r="B1" s="66"/>
      <c r="C1" s="67" t="s">
        <v>31</v>
      </c>
      <c r="D1" s="67"/>
      <c r="E1" s="67"/>
      <c r="F1" s="68"/>
      <c r="G1" s="68"/>
      <c r="H1" s="68"/>
      <c r="I1" s="68"/>
      <c r="K1" s="66"/>
      <c r="L1" s="66"/>
      <c r="M1" s="67" t="s">
        <v>31</v>
      </c>
      <c r="N1" s="67"/>
      <c r="O1" s="67"/>
      <c r="P1" s="68"/>
      <c r="Q1" s="68"/>
      <c r="R1" s="68"/>
      <c r="S1" s="68"/>
      <c r="U1" s="66"/>
      <c r="V1" s="66"/>
      <c r="W1" s="67" t="s">
        <v>31</v>
      </c>
      <c r="X1" s="67"/>
      <c r="Y1" s="67"/>
      <c r="Z1" s="68"/>
      <c r="AA1" s="68"/>
      <c r="AB1" s="68"/>
      <c r="AC1" s="68"/>
      <c r="AE1" s="66"/>
      <c r="AF1" s="66"/>
      <c r="AG1" s="67" t="s">
        <v>31</v>
      </c>
      <c r="AH1" s="67"/>
      <c r="AI1" s="67"/>
      <c r="AJ1" s="68"/>
      <c r="AK1" s="68"/>
      <c r="AL1" s="68"/>
      <c r="AM1" s="68"/>
    </row>
    <row r="2" spans="1:39" x14ac:dyDescent="0.2">
      <c r="A2" s="69"/>
      <c r="B2" s="65" t="s">
        <v>32</v>
      </c>
      <c r="C2" s="70">
        <v>0</v>
      </c>
      <c r="D2" s="70">
        <v>10</v>
      </c>
      <c r="E2" s="70">
        <v>20</v>
      </c>
      <c r="F2" s="70">
        <v>30</v>
      </c>
      <c r="G2" s="70">
        <v>40</v>
      </c>
      <c r="H2" s="70">
        <v>50</v>
      </c>
      <c r="I2" s="70">
        <v>60</v>
      </c>
      <c r="K2" s="69"/>
      <c r="L2" s="65" t="s">
        <v>32</v>
      </c>
      <c r="M2" s="70">
        <v>0</v>
      </c>
      <c r="N2" s="70">
        <v>10</v>
      </c>
      <c r="O2" s="70">
        <v>20</v>
      </c>
      <c r="P2" s="70">
        <v>30</v>
      </c>
      <c r="Q2" s="70">
        <v>40</v>
      </c>
      <c r="R2" s="70">
        <v>50</v>
      </c>
      <c r="S2" s="70">
        <v>60</v>
      </c>
      <c r="U2" s="69"/>
      <c r="V2" s="65" t="s">
        <v>32</v>
      </c>
      <c r="W2" s="70">
        <v>0</v>
      </c>
      <c r="X2" s="70">
        <v>10</v>
      </c>
      <c r="Y2" s="70">
        <v>20</v>
      </c>
      <c r="Z2" s="70">
        <v>30</v>
      </c>
      <c r="AA2" s="70">
        <v>40</v>
      </c>
      <c r="AB2" s="70">
        <v>50</v>
      </c>
      <c r="AC2" s="70">
        <v>60</v>
      </c>
      <c r="AE2" s="69"/>
      <c r="AF2" s="65" t="s">
        <v>32</v>
      </c>
      <c r="AG2" s="70">
        <v>0</v>
      </c>
      <c r="AH2" s="70">
        <v>10</v>
      </c>
      <c r="AI2" s="70">
        <v>20</v>
      </c>
      <c r="AJ2" s="70">
        <v>30</v>
      </c>
      <c r="AK2" s="70">
        <v>40</v>
      </c>
      <c r="AL2" s="70">
        <v>50</v>
      </c>
      <c r="AM2" s="70">
        <v>60</v>
      </c>
    </row>
    <row r="3" spans="1:39" x14ac:dyDescent="0.2">
      <c r="A3" s="71" t="s">
        <v>33</v>
      </c>
      <c r="B3" s="70">
        <v>0</v>
      </c>
      <c r="C3" s="72">
        <v>20</v>
      </c>
      <c r="D3" s="72">
        <v>15</v>
      </c>
      <c r="E3" s="72">
        <v>19</v>
      </c>
      <c r="F3" s="72">
        <v>21</v>
      </c>
      <c r="G3" s="72">
        <v>26</v>
      </c>
      <c r="H3" s="72">
        <v>18</v>
      </c>
      <c r="I3" s="72">
        <v>19</v>
      </c>
      <c r="K3" s="71" t="s">
        <v>33</v>
      </c>
      <c r="L3" s="70">
        <v>0</v>
      </c>
      <c r="M3" s="72">
        <v>20</v>
      </c>
      <c r="N3" s="72">
        <v>15</v>
      </c>
      <c r="O3" s="72">
        <v>19</v>
      </c>
      <c r="P3" s="72">
        <v>21</v>
      </c>
      <c r="Q3" s="72">
        <v>26</v>
      </c>
      <c r="R3" s="72">
        <v>18</v>
      </c>
      <c r="S3" s="72">
        <v>19</v>
      </c>
      <c r="U3" s="71" t="s">
        <v>33</v>
      </c>
      <c r="V3" s="70">
        <v>0</v>
      </c>
      <c r="W3" s="72">
        <v>20</v>
      </c>
      <c r="X3" s="72">
        <v>15</v>
      </c>
      <c r="Y3" s="72">
        <v>19</v>
      </c>
      <c r="Z3" s="72">
        <v>21</v>
      </c>
      <c r="AA3" s="72">
        <v>26</v>
      </c>
      <c r="AB3" s="72">
        <v>18</v>
      </c>
      <c r="AC3" s="72">
        <v>19</v>
      </c>
      <c r="AE3" s="71" t="s">
        <v>33</v>
      </c>
      <c r="AF3" s="70">
        <v>0</v>
      </c>
      <c r="AG3" s="72">
        <v>20</v>
      </c>
      <c r="AH3" s="72">
        <v>15</v>
      </c>
      <c r="AI3" s="72">
        <v>19</v>
      </c>
      <c r="AJ3" s="72">
        <v>21</v>
      </c>
      <c r="AK3" s="72">
        <v>26</v>
      </c>
      <c r="AL3" s="72">
        <v>18</v>
      </c>
      <c r="AM3" s="72">
        <v>19</v>
      </c>
    </row>
    <row r="4" spans="1:39" x14ac:dyDescent="0.2">
      <c r="A4" s="73" t="s">
        <v>34</v>
      </c>
      <c r="B4" s="70">
        <v>10</v>
      </c>
      <c r="C4" s="72">
        <v>17</v>
      </c>
      <c r="D4" s="72">
        <v>16</v>
      </c>
      <c r="E4" s="72">
        <v>23</v>
      </c>
      <c r="F4" s="72">
        <v>21</v>
      </c>
      <c r="G4" s="72">
        <v>29</v>
      </c>
      <c r="H4" s="72">
        <v>25</v>
      </c>
      <c r="I4" s="72">
        <v>15</v>
      </c>
      <c r="K4" s="73" t="s">
        <v>34</v>
      </c>
      <c r="L4" s="70">
        <v>10</v>
      </c>
      <c r="M4" s="72">
        <v>17</v>
      </c>
      <c r="N4" s="72">
        <v>16</v>
      </c>
      <c r="O4" s="72">
        <v>23</v>
      </c>
      <c r="P4" s="72">
        <v>21</v>
      </c>
      <c r="Q4" s="72">
        <v>29</v>
      </c>
      <c r="R4" s="72">
        <v>25</v>
      </c>
      <c r="S4" s="72">
        <v>15</v>
      </c>
      <c r="U4" s="73" t="s">
        <v>34</v>
      </c>
      <c r="V4" s="70">
        <v>10</v>
      </c>
      <c r="W4" s="72">
        <v>17</v>
      </c>
      <c r="X4" s="72">
        <v>16</v>
      </c>
      <c r="Y4" s="72">
        <v>23</v>
      </c>
      <c r="Z4" s="72">
        <v>21</v>
      </c>
      <c r="AA4" s="72">
        <v>29</v>
      </c>
      <c r="AB4" s="72">
        <v>25</v>
      </c>
      <c r="AC4" s="72">
        <v>15</v>
      </c>
      <c r="AE4" s="73" t="s">
        <v>34</v>
      </c>
      <c r="AF4" s="70">
        <v>10</v>
      </c>
      <c r="AG4" s="72">
        <v>17</v>
      </c>
      <c r="AH4" s="72">
        <v>16</v>
      </c>
      <c r="AI4" s="72">
        <v>23</v>
      </c>
      <c r="AJ4" s="72">
        <v>21</v>
      </c>
      <c r="AK4" s="72">
        <v>29</v>
      </c>
      <c r="AL4" s="72">
        <v>25</v>
      </c>
      <c r="AM4" s="72">
        <v>15</v>
      </c>
    </row>
    <row r="5" spans="1:39" x14ac:dyDescent="0.2">
      <c r="A5" s="73" t="s">
        <v>35</v>
      </c>
      <c r="B5" s="70">
        <v>20</v>
      </c>
      <c r="C5" s="72">
        <v>22</v>
      </c>
      <c r="D5" s="72">
        <v>17</v>
      </c>
      <c r="E5" s="72">
        <v>24</v>
      </c>
      <c r="F5" s="72">
        <v>17</v>
      </c>
      <c r="G5" s="72">
        <v>26</v>
      </c>
      <c r="H5" s="72">
        <v>32</v>
      </c>
      <c r="I5" s="72">
        <v>30</v>
      </c>
      <c r="K5" s="73" t="s">
        <v>35</v>
      </c>
      <c r="L5" s="70">
        <v>20</v>
      </c>
      <c r="M5" s="72">
        <v>22</v>
      </c>
      <c r="N5" s="72">
        <v>17</v>
      </c>
      <c r="O5" s="72">
        <v>24</v>
      </c>
      <c r="P5" s="72">
        <v>17</v>
      </c>
      <c r="Q5" s="72">
        <v>26</v>
      </c>
      <c r="R5" s="72">
        <v>32</v>
      </c>
      <c r="S5" s="72">
        <v>30</v>
      </c>
      <c r="U5" s="73" t="s">
        <v>35</v>
      </c>
      <c r="V5" s="70">
        <v>20</v>
      </c>
      <c r="W5" s="72">
        <v>22</v>
      </c>
      <c r="X5" s="72">
        <v>17</v>
      </c>
      <c r="Y5" s="72">
        <v>24</v>
      </c>
      <c r="Z5" s="72">
        <v>17</v>
      </c>
      <c r="AA5" s="72">
        <v>26</v>
      </c>
      <c r="AB5" s="72">
        <v>32</v>
      </c>
      <c r="AC5" s="72">
        <v>30</v>
      </c>
      <c r="AE5" s="73" t="s">
        <v>35</v>
      </c>
      <c r="AF5" s="70">
        <v>20</v>
      </c>
      <c r="AG5" s="72">
        <v>22</v>
      </c>
      <c r="AH5" s="72">
        <v>17</v>
      </c>
      <c r="AI5" s="72">
        <v>24</v>
      </c>
      <c r="AJ5" s="72">
        <v>17</v>
      </c>
      <c r="AK5" s="72">
        <v>26</v>
      </c>
      <c r="AL5" s="72">
        <v>32</v>
      </c>
      <c r="AM5" s="72">
        <v>30</v>
      </c>
    </row>
    <row r="6" spans="1:39" x14ac:dyDescent="0.2">
      <c r="A6" s="73" t="s">
        <v>36</v>
      </c>
      <c r="B6" s="70">
        <v>30</v>
      </c>
      <c r="C6" s="72">
        <v>20</v>
      </c>
      <c r="D6" s="72">
        <v>15</v>
      </c>
      <c r="E6" s="72">
        <v>27</v>
      </c>
      <c r="F6" s="72">
        <v>23</v>
      </c>
      <c r="G6" s="72">
        <v>27</v>
      </c>
      <c r="H6" s="72">
        <v>29</v>
      </c>
      <c r="I6" s="72">
        <v>20</v>
      </c>
      <c r="K6" s="73" t="s">
        <v>36</v>
      </c>
      <c r="L6" s="70">
        <v>30</v>
      </c>
      <c r="M6" s="72">
        <v>20</v>
      </c>
      <c r="N6" s="72">
        <v>15</v>
      </c>
      <c r="O6" s="72">
        <v>27</v>
      </c>
      <c r="P6" s="72">
        <v>23</v>
      </c>
      <c r="Q6" s="72">
        <v>27</v>
      </c>
      <c r="R6" s="72">
        <v>29</v>
      </c>
      <c r="S6" s="72">
        <v>20</v>
      </c>
      <c r="U6" s="73" t="s">
        <v>36</v>
      </c>
      <c r="V6" s="70">
        <v>30</v>
      </c>
      <c r="W6" s="72">
        <v>20</v>
      </c>
      <c r="X6" s="72">
        <v>15</v>
      </c>
      <c r="Y6" s="72">
        <v>27</v>
      </c>
      <c r="Z6" s="72">
        <v>23</v>
      </c>
      <c r="AA6" s="72">
        <v>27</v>
      </c>
      <c r="AB6" s="72">
        <v>29</v>
      </c>
      <c r="AC6" s="72">
        <v>20</v>
      </c>
      <c r="AE6" s="73" t="s">
        <v>36</v>
      </c>
      <c r="AF6" s="70">
        <v>30</v>
      </c>
      <c r="AG6" s="72">
        <v>20</v>
      </c>
      <c r="AH6" s="72">
        <v>15</v>
      </c>
      <c r="AI6" s="72">
        <v>27</v>
      </c>
      <c r="AJ6" s="72">
        <v>23</v>
      </c>
      <c r="AK6" s="72">
        <v>27</v>
      </c>
      <c r="AL6" s="72">
        <v>29</v>
      </c>
      <c r="AM6" s="72">
        <v>20</v>
      </c>
    </row>
    <row r="7" spans="1:39" x14ac:dyDescent="0.2">
      <c r="A7" s="73" t="s">
        <v>37</v>
      </c>
      <c r="B7" s="70">
        <v>40</v>
      </c>
      <c r="C7" s="72">
        <v>19</v>
      </c>
      <c r="D7" s="72">
        <v>25</v>
      </c>
      <c r="E7" s="72">
        <v>32</v>
      </c>
      <c r="F7" s="72">
        <v>28</v>
      </c>
      <c r="G7" s="72">
        <v>22</v>
      </c>
      <c r="H7" s="72">
        <v>24</v>
      </c>
      <c r="I7" s="72">
        <v>28</v>
      </c>
      <c r="K7" s="73" t="s">
        <v>37</v>
      </c>
      <c r="L7" s="70">
        <v>40</v>
      </c>
      <c r="M7" s="72">
        <v>19</v>
      </c>
      <c r="N7" s="72">
        <v>25</v>
      </c>
      <c r="O7" s="72">
        <v>32</v>
      </c>
      <c r="P7" s="72">
        <v>28</v>
      </c>
      <c r="Q7" s="72">
        <v>22</v>
      </c>
      <c r="R7" s="72">
        <v>24</v>
      </c>
      <c r="S7" s="72">
        <v>28</v>
      </c>
      <c r="U7" s="73" t="s">
        <v>37</v>
      </c>
      <c r="V7" s="70">
        <v>40</v>
      </c>
      <c r="W7" s="72">
        <v>19</v>
      </c>
      <c r="X7" s="72">
        <v>25</v>
      </c>
      <c r="Y7" s="72">
        <v>32</v>
      </c>
      <c r="Z7" s="72">
        <v>28</v>
      </c>
      <c r="AA7" s="72">
        <v>22</v>
      </c>
      <c r="AB7" s="72">
        <v>24</v>
      </c>
      <c r="AC7" s="72">
        <v>28</v>
      </c>
      <c r="AE7" s="73" t="s">
        <v>37</v>
      </c>
      <c r="AF7" s="70">
        <v>40</v>
      </c>
      <c r="AG7" s="72">
        <v>19</v>
      </c>
      <c r="AH7" s="72">
        <v>25</v>
      </c>
      <c r="AI7" s="72">
        <v>32</v>
      </c>
      <c r="AJ7" s="72">
        <v>28</v>
      </c>
      <c r="AK7" s="72">
        <v>22</v>
      </c>
      <c r="AL7" s="72">
        <v>24</v>
      </c>
      <c r="AM7" s="72">
        <v>28</v>
      </c>
    </row>
    <row r="9" spans="1:39" x14ac:dyDescent="0.2">
      <c r="M9" s="64" t="s">
        <v>42</v>
      </c>
      <c r="N9" s="64">
        <v>0</v>
      </c>
      <c r="R9" s="64">
        <v>0</v>
      </c>
      <c r="W9" s="64" t="s">
        <v>43</v>
      </c>
      <c r="X9" s="64">
        <v>0</v>
      </c>
      <c r="AB9" s="64">
        <v>0</v>
      </c>
      <c r="AG9" s="64" t="s">
        <v>44</v>
      </c>
      <c r="AH9" s="64">
        <v>0</v>
      </c>
      <c r="AL9" s="64">
        <v>0</v>
      </c>
    </row>
    <row r="10" spans="1:39" x14ac:dyDescent="0.2">
      <c r="B10" s="64" t="s">
        <v>41</v>
      </c>
      <c r="C10" s="64">
        <v>0</v>
      </c>
      <c r="G10" s="64">
        <v>0</v>
      </c>
      <c r="M10" s="75" t="s">
        <v>39</v>
      </c>
      <c r="N10" s="76">
        <v>10</v>
      </c>
      <c r="O10" s="75" t="s">
        <v>38</v>
      </c>
      <c r="P10" s="76">
        <f>COUNT(M12:S15)</f>
        <v>28</v>
      </c>
      <c r="Q10" s="75" t="s">
        <v>40</v>
      </c>
      <c r="R10" s="77">
        <f>+SUM(M12:S15)/P10/2</f>
        <v>15.25</v>
      </c>
      <c r="S10" s="72"/>
      <c r="W10" s="75" t="s">
        <v>39</v>
      </c>
      <c r="X10" s="76">
        <f>10*SQRT(2)</f>
        <v>14.142135623730951</v>
      </c>
      <c r="Y10" s="75" t="s">
        <v>38</v>
      </c>
      <c r="Z10" s="76">
        <f>COUNT(W12:AC15)</f>
        <v>24</v>
      </c>
      <c r="AA10" s="75" t="s">
        <v>40</v>
      </c>
      <c r="AB10" s="77">
        <f>+SUM(W12:AC15)/Z10/2</f>
        <v>23.041666666666668</v>
      </c>
      <c r="AC10" s="72"/>
      <c r="AG10" s="75" t="s">
        <v>39</v>
      </c>
      <c r="AH10" s="76">
        <f>10*SQRT(2)</f>
        <v>14.142135623730951</v>
      </c>
      <c r="AI10" s="75" t="s">
        <v>38</v>
      </c>
      <c r="AJ10" s="76">
        <f>COUNT(AG12:AM15)</f>
        <v>24</v>
      </c>
      <c r="AK10" s="75" t="s">
        <v>40</v>
      </c>
      <c r="AL10" s="77">
        <f>+SUM(AG12:AM15)/AJ10/2</f>
        <v>21.791666666666668</v>
      </c>
      <c r="AM10" s="72"/>
    </row>
    <row r="11" spans="1:39" x14ac:dyDescent="0.2">
      <c r="B11" s="75" t="s">
        <v>39</v>
      </c>
      <c r="C11" s="76">
        <v>10</v>
      </c>
      <c r="D11" s="75" t="s">
        <v>38</v>
      </c>
      <c r="E11" s="76">
        <f>COUNT(B13:G17)</f>
        <v>30</v>
      </c>
      <c r="F11" s="75" t="s">
        <v>40</v>
      </c>
      <c r="G11" s="74">
        <f>+SUM(B13:G17)/E11/2</f>
        <v>17.600000000000001</v>
      </c>
      <c r="M11" s="70"/>
      <c r="N11" s="70"/>
      <c r="O11" s="70"/>
      <c r="P11" s="70"/>
      <c r="Q11" s="70"/>
      <c r="R11" s="70"/>
      <c r="S11" s="70"/>
      <c r="W11" s="70"/>
      <c r="X11" s="70"/>
      <c r="Y11" s="70"/>
      <c r="Z11" s="70"/>
      <c r="AA11" s="70"/>
      <c r="AB11" s="70"/>
      <c r="AC11" s="70"/>
      <c r="AG11" s="70"/>
      <c r="AH11" s="70"/>
      <c r="AI11" s="70"/>
      <c r="AJ11" s="70"/>
      <c r="AK11" s="70"/>
      <c r="AL11" s="70"/>
      <c r="AM11" s="70"/>
    </row>
    <row r="12" spans="1:39" x14ac:dyDescent="0.2">
      <c r="B12" s="70"/>
      <c r="C12" s="70"/>
      <c r="D12" s="70"/>
      <c r="E12" s="70"/>
      <c r="F12" s="70"/>
      <c r="G12" s="70"/>
      <c r="M12" s="72">
        <f>(M3-M4)^2</f>
        <v>9</v>
      </c>
      <c r="N12" s="72">
        <f t="shared" ref="N10:S12" si="0">(N3-N4)^2</f>
        <v>1</v>
      </c>
      <c r="O12" s="72">
        <f t="shared" si="0"/>
        <v>16</v>
      </c>
      <c r="P12" s="72">
        <f t="shared" si="0"/>
        <v>0</v>
      </c>
      <c r="Q12" s="72">
        <f t="shared" si="0"/>
        <v>9</v>
      </c>
      <c r="R12" s="72">
        <f t="shared" si="0"/>
        <v>49</v>
      </c>
      <c r="S12" s="72">
        <f t="shared" si="0"/>
        <v>16</v>
      </c>
      <c r="W12" s="72">
        <f>(X3-W4)^2</f>
        <v>4</v>
      </c>
      <c r="X12" s="72">
        <f t="shared" ref="X12:AC12" si="1">(Y3-X4)^2</f>
        <v>9</v>
      </c>
      <c r="Y12" s="72">
        <f t="shared" si="1"/>
        <v>4</v>
      </c>
      <c r="Z12" s="72">
        <f t="shared" si="1"/>
        <v>25</v>
      </c>
      <c r="AA12" s="72">
        <f t="shared" si="1"/>
        <v>121</v>
      </c>
      <c r="AB12" s="72">
        <f t="shared" si="1"/>
        <v>36</v>
      </c>
      <c r="AC12" s="72"/>
      <c r="AG12" s="72">
        <f>(AG3-AH4)^2</f>
        <v>16</v>
      </c>
      <c r="AH12" s="72">
        <f t="shared" ref="AH12:AL12" si="2">(AH3-AI4)^2</f>
        <v>64</v>
      </c>
      <c r="AI12" s="72">
        <f t="shared" si="2"/>
        <v>4</v>
      </c>
      <c r="AJ12" s="72">
        <f t="shared" si="2"/>
        <v>64</v>
      </c>
      <c r="AK12" s="72">
        <f t="shared" si="2"/>
        <v>1</v>
      </c>
      <c r="AL12" s="72">
        <f t="shared" si="2"/>
        <v>9</v>
      </c>
      <c r="AM12" s="72"/>
    </row>
    <row r="13" spans="1:39" x14ac:dyDescent="0.2">
      <c r="B13" s="72">
        <f>(C3-D3)^2</f>
        <v>25</v>
      </c>
      <c r="C13" s="72">
        <f>(D3-E3)^2</f>
        <v>16</v>
      </c>
      <c r="D13" s="72">
        <f>(E3-F3)^2</f>
        <v>4</v>
      </c>
      <c r="E13" s="72">
        <f>(F3-G3)^2</f>
        <v>25</v>
      </c>
      <c r="F13" s="72">
        <f>(G3-H3)^2</f>
        <v>64</v>
      </c>
      <c r="G13" s="72">
        <f>(H3-I3)^2</f>
        <v>1</v>
      </c>
      <c r="M13" s="72">
        <f>(M4-M5)^2</f>
        <v>25</v>
      </c>
      <c r="N13" s="72">
        <f t="shared" ref="N13:S13" si="3">(N4-N5)^2</f>
        <v>1</v>
      </c>
      <c r="O13" s="72">
        <f t="shared" si="3"/>
        <v>1</v>
      </c>
      <c r="P13" s="72">
        <f t="shared" si="3"/>
        <v>16</v>
      </c>
      <c r="Q13" s="72">
        <f t="shared" si="3"/>
        <v>9</v>
      </c>
      <c r="R13" s="72">
        <f t="shared" si="3"/>
        <v>49</v>
      </c>
      <c r="S13" s="72">
        <f t="shared" si="3"/>
        <v>225</v>
      </c>
      <c r="W13" s="72">
        <f t="shared" ref="W13:AC15" si="4">(X4-W5)^2</f>
        <v>36</v>
      </c>
      <c r="X13" s="72">
        <f t="shared" si="4"/>
        <v>36</v>
      </c>
      <c r="Y13" s="72">
        <f t="shared" si="4"/>
        <v>9</v>
      </c>
      <c r="Z13" s="72">
        <f t="shared" si="4"/>
        <v>144</v>
      </c>
      <c r="AA13" s="72">
        <f t="shared" si="4"/>
        <v>1</v>
      </c>
      <c r="AB13" s="72">
        <f t="shared" si="4"/>
        <v>289</v>
      </c>
      <c r="AC13" s="72"/>
      <c r="AG13" s="72">
        <f t="shared" ref="AG13:AL15" si="5">(AG4-AH5)^2</f>
        <v>0</v>
      </c>
      <c r="AH13" s="72">
        <f t="shared" si="5"/>
        <v>64</v>
      </c>
      <c r="AI13" s="72">
        <f t="shared" si="5"/>
        <v>36</v>
      </c>
      <c r="AJ13" s="72">
        <f t="shared" si="5"/>
        <v>25</v>
      </c>
      <c r="AK13" s="72">
        <f t="shared" si="5"/>
        <v>9</v>
      </c>
      <c r="AL13" s="72">
        <f t="shared" si="5"/>
        <v>25</v>
      </c>
      <c r="AM13" s="72"/>
    </row>
    <row r="14" spans="1:39" x14ac:dyDescent="0.2">
      <c r="B14" s="72">
        <f>(C4-D4)^2</f>
        <v>1</v>
      </c>
      <c r="C14" s="72">
        <f>(D4-E4)^2</f>
        <v>49</v>
      </c>
      <c r="D14" s="72">
        <f>(E4-F4)^2</f>
        <v>4</v>
      </c>
      <c r="E14" s="72">
        <f>(F4-G4)^2</f>
        <v>64</v>
      </c>
      <c r="F14" s="72">
        <f>(G4-H4)^2</f>
        <v>16</v>
      </c>
      <c r="G14" s="72">
        <f>(H4-I4)^2</f>
        <v>100</v>
      </c>
      <c r="M14" s="72">
        <f>(M5-M6)^2</f>
        <v>4</v>
      </c>
      <c r="N14" s="72">
        <f t="shared" ref="N14:S14" si="6">(N5-N6)^2</f>
        <v>4</v>
      </c>
      <c r="O14" s="72">
        <f t="shared" si="6"/>
        <v>9</v>
      </c>
      <c r="P14" s="72">
        <f t="shared" si="6"/>
        <v>36</v>
      </c>
      <c r="Q14" s="72">
        <f t="shared" si="6"/>
        <v>1</v>
      </c>
      <c r="R14" s="72">
        <f t="shared" si="6"/>
        <v>9</v>
      </c>
      <c r="S14" s="72">
        <f t="shared" si="6"/>
        <v>100</v>
      </c>
      <c r="W14" s="72">
        <f t="shared" si="4"/>
        <v>9</v>
      </c>
      <c r="X14" s="72">
        <f t="shared" si="4"/>
        <v>81</v>
      </c>
      <c r="Y14" s="72">
        <f t="shared" si="4"/>
        <v>100</v>
      </c>
      <c r="Z14" s="72">
        <f t="shared" si="4"/>
        <v>9</v>
      </c>
      <c r="AA14" s="72">
        <f t="shared" si="4"/>
        <v>25</v>
      </c>
      <c r="AB14" s="72">
        <f t="shared" si="4"/>
        <v>1</v>
      </c>
      <c r="AC14" s="72"/>
      <c r="AG14" s="72">
        <f t="shared" si="5"/>
        <v>49</v>
      </c>
      <c r="AH14" s="72">
        <f t="shared" si="5"/>
        <v>100</v>
      </c>
      <c r="AI14" s="72">
        <f t="shared" si="5"/>
        <v>1</v>
      </c>
      <c r="AJ14" s="72">
        <f t="shared" si="5"/>
        <v>100</v>
      </c>
      <c r="AK14" s="72">
        <f t="shared" si="5"/>
        <v>9</v>
      </c>
      <c r="AL14" s="72">
        <f t="shared" si="5"/>
        <v>144</v>
      </c>
      <c r="AM14" s="72"/>
    </row>
    <row r="15" spans="1:39" x14ac:dyDescent="0.2">
      <c r="B15" s="72">
        <f>(C5-D5)^2</f>
        <v>25</v>
      </c>
      <c r="C15" s="72">
        <f>(D5-E5)^2</f>
        <v>49</v>
      </c>
      <c r="D15" s="72">
        <f>(E5-F5)^2</f>
        <v>49</v>
      </c>
      <c r="E15" s="72">
        <f>(F5-G5)^2</f>
        <v>81</v>
      </c>
      <c r="F15" s="72">
        <f>(G5-H5)^2</f>
        <v>36</v>
      </c>
      <c r="G15" s="72">
        <f>(H5-I5)^2</f>
        <v>4</v>
      </c>
      <c r="M15" s="72">
        <f>(M6-M7)^2</f>
        <v>1</v>
      </c>
      <c r="N15" s="72">
        <f t="shared" ref="N15:S15" si="7">(N6-N7)^2</f>
        <v>100</v>
      </c>
      <c r="O15" s="72">
        <f t="shared" si="7"/>
        <v>25</v>
      </c>
      <c r="P15" s="72">
        <f t="shared" si="7"/>
        <v>25</v>
      </c>
      <c r="Q15" s="72">
        <f t="shared" si="7"/>
        <v>25</v>
      </c>
      <c r="R15" s="72">
        <f t="shared" si="7"/>
        <v>25</v>
      </c>
      <c r="S15" s="72">
        <f t="shared" si="7"/>
        <v>64</v>
      </c>
      <c r="W15" s="72">
        <f t="shared" si="4"/>
        <v>16</v>
      </c>
      <c r="X15" s="72">
        <f t="shared" si="4"/>
        <v>4</v>
      </c>
      <c r="Y15" s="72">
        <f t="shared" si="4"/>
        <v>81</v>
      </c>
      <c r="Z15" s="72">
        <f t="shared" si="4"/>
        <v>1</v>
      </c>
      <c r="AA15" s="72">
        <f t="shared" si="4"/>
        <v>49</v>
      </c>
      <c r="AB15" s="72">
        <f t="shared" si="4"/>
        <v>16</v>
      </c>
      <c r="AC15" s="72"/>
      <c r="AG15" s="72">
        <f t="shared" si="5"/>
        <v>25</v>
      </c>
      <c r="AH15" s="72">
        <f t="shared" si="5"/>
        <v>289</v>
      </c>
      <c r="AI15" s="72">
        <f t="shared" si="5"/>
        <v>1</v>
      </c>
      <c r="AJ15" s="72">
        <f t="shared" si="5"/>
        <v>1</v>
      </c>
      <c r="AK15" s="72">
        <f t="shared" si="5"/>
        <v>9</v>
      </c>
      <c r="AL15" s="72">
        <f t="shared" si="5"/>
        <v>1</v>
      </c>
      <c r="AM15" s="72"/>
    </row>
    <row r="16" spans="1:39" x14ac:dyDescent="0.2">
      <c r="B16" s="72">
        <f>(C6-D6)^2</f>
        <v>25</v>
      </c>
      <c r="C16" s="72">
        <f>(D6-E6)^2</f>
        <v>144</v>
      </c>
      <c r="D16" s="72">
        <f>(E6-F6)^2</f>
        <v>16</v>
      </c>
      <c r="E16" s="72">
        <f>(F6-G6)^2</f>
        <v>16</v>
      </c>
      <c r="F16" s="72">
        <f>(G6-H6)^2</f>
        <v>4</v>
      </c>
      <c r="G16" s="72">
        <f>(H6-I6)^2</f>
        <v>81</v>
      </c>
    </row>
    <row r="17" spans="2:39" x14ac:dyDescent="0.2">
      <c r="B17" s="72">
        <f>(C7-D7)^2</f>
        <v>36</v>
      </c>
      <c r="C17" s="72">
        <f>(D7-E7)^2</f>
        <v>49</v>
      </c>
      <c r="D17" s="72">
        <f>(E7-F7)^2</f>
        <v>16</v>
      </c>
      <c r="E17" s="72">
        <f>(F7-G7)^2</f>
        <v>36</v>
      </c>
      <c r="F17" s="72">
        <f>(G7-H7)^2</f>
        <v>4</v>
      </c>
      <c r="G17" s="72">
        <f>(H7-I7)^2</f>
        <v>16</v>
      </c>
      <c r="M17" s="75" t="s">
        <v>39</v>
      </c>
      <c r="N17" s="76">
        <v>20</v>
      </c>
      <c r="O17" s="75" t="s">
        <v>38</v>
      </c>
      <c r="P17" s="76">
        <f>COUNT(M19:S21)</f>
        <v>21</v>
      </c>
      <c r="Q17" s="75" t="s">
        <v>40</v>
      </c>
      <c r="R17" s="77">
        <f>+SUM(M19:S21)/P17/2</f>
        <v>18.642857142857142</v>
      </c>
      <c r="S17" s="72"/>
      <c r="W17" s="75" t="s">
        <v>39</v>
      </c>
      <c r="X17" s="76">
        <f>20*SQRT(2)</f>
        <v>28.284271247461902</v>
      </c>
      <c r="Y17" s="75" t="s">
        <v>38</v>
      </c>
      <c r="Z17" s="76">
        <f>COUNT(W19:AC21)</f>
        <v>15</v>
      </c>
      <c r="AA17" s="75" t="s">
        <v>40</v>
      </c>
      <c r="AB17" s="77">
        <f>+SUM(W19:AC21)/Z17/2</f>
        <v>16.033333333333335</v>
      </c>
      <c r="AC17" s="72"/>
      <c r="AG17" s="75" t="s">
        <v>39</v>
      </c>
      <c r="AH17" s="76">
        <f>20*SQRT(2)</f>
        <v>28.284271247461902</v>
      </c>
      <c r="AI17" s="75" t="s">
        <v>38</v>
      </c>
      <c r="AJ17" s="76">
        <f>COUNT(AG19:AM21)</f>
        <v>15</v>
      </c>
      <c r="AK17" s="75" t="s">
        <v>40</v>
      </c>
      <c r="AL17" s="77">
        <f>+SUM(AG19:AM21)/AJ17/2</f>
        <v>26.466666666666665</v>
      </c>
      <c r="AM17" s="72"/>
    </row>
    <row r="18" spans="2:39" x14ac:dyDescent="0.2">
      <c r="M18" s="70"/>
      <c r="N18" s="70"/>
      <c r="O18" s="70"/>
      <c r="P18" s="70"/>
      <c r="Q18" s="70"/>
      <c r="R18" s="70"/>
      <c r="S18" s="70"/>
      <c r="W18" s="70"/>
      <c r="X18" s="70"/>
      <c r="Y18" s="70"/>
      <c r="Z18" s="70"/>
      <c r="AA18" s="70"/>
      <c r="AB18" s="70"/>
      <c r="AC18" s="70"/>
      <c r="AG18" s="70"/>
      <c r="AH18" s="70"/>
      <c r="AI18" s="70"/>
      <c r="AJ18" s="70"/>
      <c r="AK18" s="70"/>
      <c r="AL18" s="70"/>
      <c r="AM18" s="70"/>
    </row>
    <row r="19" spans="2:39" x14ac:dyDescent="0.2">
      <c r="B19" s="75" t="s">
        <v>39</v>
      </c>
      <c r="C19" s="76">
        <v>20</v>
      </c>
      <c r="D19" s="75" t="s">
        <v>38</v>
      </c>
      <c r="E19" s="76">
        <f>COUNT(B21:G25)</f>
        <v>25</v>
      </c>
      <c r="F19" s="75" t="s">
        <v>40</v>
      </c>
      <c r="G19" s="74">
        <f>+SUM(B21:G25)/E19/2</f>
        <v>24.6</v>
      </c>
      <c r="M19" s="72">
        <f>(M3-M5)^2</f>
        <v>4</v>
      </c>
      <c r="N19" s="72">
        <f t="shared" ref="N19:S19" si="8">(N3-N5)^2</f>
        <v>4</v>
      </c>
      <c r="O19" s="72">
        <f t="shared" si="8"/>
        <v>25</v>
      </c>
      <c r="P19" s="72">
        <f t="shared" si="8"/>
        <v>16</v>
      </c>
      <c r="Q19" s="72">
        <f t="shared" si="8"/>
        <v>0</v>
      </c>
      <c r="R19" s="72">
        <f t="shared" si="8"/>
        <v>196</v>
      </c>
      <c r="S19" s="72">
        <f t="shared" si="8"/>
        <v>121</v>
      </c>
      <c r="W19" s="72">
        <f>(Y3-W5)^2</f>
        <v>9</v>
      </c>
      <c r="X19" s="72">
        <f t="shared" ref="X19:AA21" si="9">(Z3-X5)^2</f>
        <v>16</v>
      </c>
      <c r="Y19" s="72">
        <f t="shared" si="9"/>
        <v>4</v>
      </c>
      <c r="Z19" s="72">
        <f t="shared" si="9"/>
        <v>1</v>
      </c>
      <c r="AA19" s="72">
        <f t="shared" si="9"/>
        <v>49</v>
      </c>
      <c r="AB19" s="72"/>
      <c r="AC19" s="72"/>
      <c r="AG19" s="72">
        <f>(AG3-AI5)^2</f>
        <v>16</v>
      </c>
      <c r="AH19" s="72">
        <f t="shared" ref="AH19:AK21" si="10">(AH3-AJ5)^2</f>
        <v>4</v>
      </c>
      <c r="AI19" s="72">
        <f t="shared" si="10"/>
        <v>49</v>
      </c>
      <c r="AJ19" s="72">
        <f t="shared" si="10"/>
        <v>121</v>
      </c>
      <c r="AK19" s="72">
        <f t="shared" si="10"/>
        <v>16</v>
      </c>
      <c r="AL19" s="72"/>
      <c r="AM19" s="72"/>
    </row>
    <row r="20" spans="2:39" x14ac:dyDescent="0.2">
      <c r="B20" s="70"/>
      <c r="C20" s="70"/>
      <c r="D20" s="70"/>
      <c r="E20" s="70"/>
      <c r="F20" s="70"/>
      <c r="G20" s="70"/>
      <c r="M20" s="72">
        <f t="shared" ref="M20:S21" si="11">(M4-M6)^2</f>
        <v>9</v>
      </c>
      <c r="N20" s="72">
        <f t="shared" si="11"/>
        <v>1</v>
      </c>
      <c r="O20" s="72">
        <f t="shared" si="11"/>
        <v>16</v>
      </c>
      <c r="P20" s="72">
        <f t="shared" si="11"/>
        <v>4</v>
      </c>
      <c r="Q20" s="72">
        <f t="shared" si="11"/>
        <v>4</v>
      </c>
      <c r="R20" s="72">
        <f t="shared" si="11"/>
        <v>16</v>
      </c>
      <c r="S20" s="72">
        <f t="shared" si="11"/>
        <v>25</v>
      </c>
      <c r="W20" s="72">
        <f t="shared" ref="W20:W21" si="12">(Y4-W6)^2</f>
        <v>9</v>
      </c>
      <c r="X20" s="72">
        <f t="shared" si="9"/>
        <v>36</v>
      </c>
      <c r="Y20" s="72">
        <f t="shared" si="9"/>
        <v>4</v>
      </c>
      <c r="Z20" s="72">
        <f t="shared" si="9"/>
        <v>4</v>
      </c>
      <c r="AA20" s="72">
        <f t="shared" si="9"/>
        <v>144</v>
      </c>
      <c r="AB20" s="72"/>
      <c r="AC20" s="72"/>
      <c r="AG20" s="72">
        <f t="shared" ref="AG20:AG21" si="13">(AG4-AI6)^2</f>
        <v>100</v>
      </c>
      <c r="AH20" s="72">
        <f t="shared" si="10"/>
        <v>49</v>
      </c>
      <c r="AI20" s="72">
        <f t="shared" si="10"/>
        <v>16</v>
      </c>
      <c r="AJ20" s="72">
        <f t="shared" si="10"/>
        <v>64</v>
      </c>
      <c r="AK20" s="72">
        <f t="shared" si="10"/>
        <v>81</v>
      </c>
      <c r="AL20" s="72"/>
      <c r="AM20" s="72"/>
    </row>
    <row r="21" spans="2:39" x14ac:dyDescent="0.2">
      <c r="B21" s="72">
        <f>(C3-E3)^2</f>
        <v>1</v>
      </c>
      <c r="C21" s="72">
        <f>(D3-F3)^2</f>
        <v>36</v>
      </c>
      <c r="D21" s="72">
        <f>(E3-G3)^2</f>
        <v>49</v>
      </c>
      <c r="E21" s="72">
        <f>(F3-H3)^2</f>
        <v>9</v>
      </c>
      <c r="F21" s="72">
        <f>(G3-I3)^2</f>
        <v>49</v>
      </c>
      <c r="G21" s="72"/>
      <c r="M21" s="72">
        <f t="shared" si="11"/>
        <v>9</v>
      </c>
      <c r="N21" s="72">
        <f t="shared" si="11"/>
        <v>64</v>
      </c>
      <c r="O21" s="72">
        <f t="shared" si="11"/>
        <v>64</v>
      </c>
      <c r="P21" s="72">
        <f t="shared" si="11"/>
        <v>121</v>
      </c>
      <c r="Q21" s="72">
        <f t="shared" si="11"/>
        <v>16</v>
      </c>
      <c r="R21" s="72">
        <f t="shared" si="11"/>
        <v>64</v>
      </c>
      <c r="S21" s="72">
        <f t="shared" si="11"/>
        <v>4</v>
      </c>
      <c r="W21" s="72">
        <f t="shared" si="12"/>
        <v>25</v>
      </c>
      <c r="X21" s="72">
        <f t="shared" si="9"/>
        <v>64</v>
      </c>
      <c r="Y21" s="72">
        <f t="shared" si="9"/>
        <v>36</v>
      </c>
      <c r="Z21" s="72">
        <f t="shared" si="9"/>
        <v>16</v>
      </c>
      <c r="AA21" s="72">
        <f t="shared" si="9"/>
        <v>64</v>
      </c>
      <c r="AB21" s="72"/>
      <c r="AC21" s="72"/>
      <c r="AG21" s="72">
        <f t="shared" si="13"/>
        <v>100</v>
      </c>
      <c r="AH21" s="72">
        <f t="shared" si="10"/>
        <v>121</v>
      </c>
      <c r="AI21" s="72">
        <f t="shared" si="10"/>
        <v>4</v>
      </c>
      <c r="AJ21" s="72">
        <f t="shared" si="10"/>
        <v>49</v>
      </c>
      <c r="AK21" s="72">
        <f t="shared" si="10"/>
        <v>4</v>
      </c>
      <c r="AL21" s="72"/>
      <c r="AM21" s="72"/>
    </row>
    <row r="22" spans="2:39" x14ac:dyDescent="0.2">
      <c r="B22" s="72">
        <f>(C4-E4)^2</f>
        <v>36</v>
      </c>
      <c r="C22" s="72">
        <f>(D4-F4)^2</f>
        <v>25</v>
      </c>
      <c r="D22" s="72">
        <f>(E4-G4)^2</f>
        <v>36</v>
      </c>
      <c r="E22" s="72">
        <f>(F4-H4)^2</f>
        <v>16</v>
      </c>
      <c r="F22" s="72">
        <f>(G4-I4)^2</f>
        <v>196</v>
      </c>
      <c r="G22" s="72"/>
    </row>
    <row r="23" spans="2:39" x14ac:dyDescent="0.2">
      <c r="B23" s="72">
        <f>(C5-E5)^2</f>
        <v>4</v>
      </c>
      <c r="C23" s="72">
        <f>(D5-F5)^2</f>
        <v>0</v>
      </c>
      <c r="D23" s="72">
        <f>(E5-G5)^2</f>
        <v>4</v>
      </c>
      <c r="E23" s="72">
        <f>(F5-H5)^2</f>
        <v>225</v>
      </c>
      <c r="F23" s="72">
        <f>(G5-I5)^2</f>
        <v>16</v>
      </c>
      <c r="G23" s="72"/>
      <c r="M23" s="75" t="s">
        <v>39</v>
      </c>
      <c r="N23" s="76">
        <v>30</v>
      </c>
      <c r="O23" s="75" t="s">
        <v>38</v>
      </c>
      <c r="P23" s="76">
        <f>COUNT(M25:S26)</f>
        <v>14</v>
      </c>
      <c r="Q23" s="75" t="s">
        <v>40</v>
      </c>
      <c r="R23" s="77">
        <f>+SUM(M25:S26)/P23/2</f>
        <v>22.321428571428573</v>
      </c>
      <c r="S23" s="72"/>
      <c r="W23" s="75" t="s">
        <v>39</v>
      </c>
      <c r="X23" s="76">
        <f>30*SQRT(2)</f>
        <v>42.426406871192853</v>
      </c>
      <c r="Y23" s="75" t="s">
        <v>38</v>
      </c>
      <c r="Z23" s="76">
        <f>COUNT(W25:AC26)</f>
        <v>8</v>
      </c>
      <c r="AA23" s="75" t="s">
        <v>40</v>
      </c>
      <c r="AB23" s="77">
        <f>+SUM(W25:AC26)/Z23/2</f>
        <v>28.5625</v>
      </c>
      <c r="AC23" s="72"/>
      <c r="AG23" s="75" t="s">
        <v>39</v>
      </c>
      <c r="AH23" s="76">
        <f>30*SQRT(2)</f>
        <v>42.426406871192853</v>
      </c>
      <c r="AI23" s="75" t="s">
        <v>38</v>
      </c>
      <c r="AJ23" s="76">
        <f>COUNT(AG25:AM26)</f>
        <v>8</v>
      </c>
      <c r="AK23" s="75" t="s">
        <v>40</v>
      </c>
      <c r="AL23" s="77">
        <f>+SUM(AG25:AM26)/AJ23/2</f>
        <v>28.8125</v>
      </c>
      <c r="AM23" s="72"/>
    </row>
    <row r="24" spans="2:39" x14ac:dyDescent="0.2">
      <c r="B24" s="72">
        <f>(C6-E6)^2</f>
        <v>49</v>
      </c>
      <c r="C24" s="72">
        <f>(D6-F6)^2</f>
        <v>64</v>
      </c>
      <c r="D24" s="72">
        <f>(E6-G6)^2</f>
        <v>0</v>
      </c>
      <c r="E24" s="72">
        <f>(F6-H6)^2</f>
        <v>36</v>
      </c>
      <c r="F24" s="72">
        <f>(G6-I6)^2</f>
        <v>49</v>
      </c>
      <c r="G24" s="72"/>
      <c r="M24" s="70"/>
      <c r="N24" s="70"/>
      <c r="O24" s="70"/>
      <c r="P24" s="70"/>
      <c r="Q24" s="70"/>
      <c r="R24" s="70"/>
      <c r="S24" s="70"/>
      <c r="W24" s="70"/>
      <c r="X24" s="70"/>
      <c r="Y24" s="70"/>
      <c r="Z24" s="70"/>
      <c r="AA24" s="70"/>
      <c r="AB24" s="70"/>
      <c r="AC24" s="70"/>
      <c r="AG24" s="70"/>
      <c r="AH24" s="70"/>
      <c r="AI24" s="70"/>
      <c r="AJ24" s="70"/>
      <c r="AK24" s="70"/>
      <c r="AL24" s="70"/>
      <c r="AM24" s="70"/>
    </row>
    <row r="25" spans="2:39" x14ac:dyDescent="0.2">
      <c r="B25" s="72">
        <f>(C7-E7)^2</f>
        <v>169</v>
      </c>
      <c r="C25" s="72">
        <f>(D7-F7)^2</f>
        <v>9</v>
      </c>
      <c r="D25" s="72">
        <f>(E7-G7)^2</f>
        <v>100</v>
      </c>
      <c r="E25" s="72">
        <f>(F7-H7)^2</f>
        <v>16</v>
      </c>
      <c r="F25" s="72">
        <f>(G7-I7)^2</f>
        <v>36</v>
      </c>
      <c r="G25" s="72"/>
      <c r="M25" s="72">
        <f>(M3-M6)^2</f>
        <v>0</v>
      </c>
      <c r="N25" s="72">
        <f>(N3-N6)^2</f>
        <v>0</v>
      </c>
      <c r="O25" s="72">
        <f>(O3-O6)^2</f>
        <v>64</v>
      </c>
      <c r="P25" s="72">
        <f>(P3-P6)^2</f>
        <v>4</v>
      </c>
      <c r="Q25" s="72">
        <f>(Q3-Q6)^2</f>
        <v>1</v>
      </c>
      <c r="R25" s="72">
        <f>(R3-R6)^2</f>
        <v>121</v>
      </c>
      <c r="S25" s="72">
        <f>(S3-S6)^2</f>
        <v>1</v>
      </c>
      <c r="W25" s="72">
        <f>+(Z3-W6)^2</f>
        <v>1</v>
      </c>
      <c r="X25" s="72">
        <f t="shared" ref="X25:Z25" si="14">+(AA3-X6)^2</f>
        <v>121</v>
      </c>
      <c r="Y25" s="72">
        <f t="shared" si="14"/>
        <v>81</v>
      </c>
      <c r="Z25" s="72">
        <f t="shared" si="14"/>
        <v>16</v>
      </c>
      <c r="AA25" s="72"/>
      <c r="AB25" s="72"/>
      <c r="AC25" s="72"/>
      <c r="AG25" s="72">
        <f>+(AG3-AJ6)^2</f>
        <v>9</v>
      </c>
      <c r="AH25" s="72">
        <f t="shared" ref="AH25:AJ25" si="15">+(AH3-AK6)^2</f>
        <v>144</v>
      </c>
      <c r="AI25" s="72">
        <f t="shared" si="15"/>
        <v>100</v>
      </c>
      <c r="AJ25" s="72">
        <f t="shared" si="15"/>
        <v>1</v>
      </c>
      <c r="AK25" s="72"/>
      <c r="AL25" s="72"/>
      <c r="AM25" s="72"/>
    </row>
    <row r="26" spans="2:39" x14ac:dyDescent="0.2">
      <c r="M26" s="72">
        <f>(M4-M7)^2</f>
        <v>4</v>
      </c>
      <c r="N26" s="72">
        <f>(N4-N7)^2</f>
        <v>81</v>
      </c>
      <c r="O26" s="72">
        <f>(O4-O7)^2</f>
        <v>81</v>
      </c>
      <c r="P26" s="72">
        <f>(P4-P7)^2</f>
        <v>49</v>
      </c>
      <c r="Q26" s="72">
        <f>(Q4-Q7)^2</f>
        <v>49</v>
      </c>
      <c r="R26" s="72">
        <f>(R4-R7)^2</f>
        <v>1</v>
      </c>
      <c r="S26" s="72">
        <f>(S4-S7)^2</f>
        <v>169</v>
      </c>
      <c r="W26" s="72">
        <f>+(Z4-W7)^2</f>
        <v>4</v>
      </c>
      <c r="X26" s="72">
        <f t="shared" ref="X26:Z26" si="16">+(AA4-X7)^2</f>
        <v>16</v>
      </c>
      <c r="Y26" s="72">
        <f t="shared" si="16"/>
        <v>49</v>
      </c>
      <c r="Z26" s="72">
        <f t="shared" si="16"/>
        <v>169</v>
      </c>
      <c r="AA26" s="72"/>
      <c r="AB26" s="72"/>
      <c r="AC26" s="72"/>
      <c r="AG26" s="72">
        <f>+(AG4-AJ7)^2</f>
        <v>121</v>
      </c>
      <c r="AH26" s="72">
        <f t="shared" ref="AH26:AJ26" si="17">+(AH4-AK7)^2</f>
        <v>36</v>
      </c>
      <c r="AI26" s="72">
        <f t="shared" si="17"/>
        <v>1</v>
      </c>
      <c r="AJ26" s="72">
        <f t="shared" si="17"/>
        <v>49</v>
      </c>
      <c r="AK26" s="72"/>
      <c r="AL26" s="72"/>
      <c r="AM26" s="72"/>
    </row>
    <row r="27" spans="2:39" x14ac:dyDescent="0.2">
      <c r="B27" s="75" t="s">
        <v>39</v>
      </c>
      <c r="C27" s="76">
        <v>30</v>
      </c>
      <c r="D27" s="75" t="s">
        <v>38</v>
      </c>
      <c r="E27" s="76">
        <f>COUNT(B29:G33)</f>
        <v>20</v>
      </c>
      <c r="F27" s="75" t="s">
        <v>40</v>
      </c>
      <c r="G27" s="74">
        <f>+SUM(B29:G33)/E27/2</f>
        <v>25.274999999999999</v>
      </c>
    </row>
    <row r="28" spans="2:39" x14ac:dyDescent="0.2">
      <c r="B28" s="70"/>
      <c r="C28" s="70"/>
      <c r="D28" s="70"/>
      <c r="E28" s="70"/>
      <c r="F28" s="70"/>
      <c r="G28" s="70"/>
    </row>
    <row r="29" spans="2:39" x14ac:dyDescent="0.2">
      <c r="B29" s="72">
        <f>+(C3-F3)^2</f>
        <v>1</v>
      </c>
      <c r="C29" s="72">
        <f>+(D3-G3)^2</f>
        <v>121</v>
      </c>
      <c r="D29" s="72">
        <f>+(E3-H3)^2</f>
        <v>1</v>
      </c>
      <c r="E29" s="72">
        <f>+(F3-I3)^2</f>
        <v>4</v>
      </c>
      <c r="F29" s="72"/>
      <c r="G29" s="72"/>
    </row>
    <row r="30" spans="2:39" x14ac:dyDescent="0.2">
      <c r="B30" s="72">
        <f>+(C4-F4)^2</f>
        <v>16</v>
      </c>
      <c r="C30" s="72">
        <f>+(D4-G4)^2</f>
        <v>169</v>
      </c>
      <c r="D30" s="72">
        <f>+(E4-H4)^2</f>
        <v>4</v>
      </c>
      <c r="E30" s="72">
        <f>+(F4-I4)^2</f>
        <v>36</v>
      </c>
      <c r="F30" s="72"/>
      <c r="G30" s="72"/>
    </row>
    <row r="31" spans="2:39" x14ac:dyDescent="0.2">
      <c r="B31" s="72">
        <f>+(C5-F5)^2</f>
        <v>25</v>
      </c>
      <c r="C31" s="72">
        <f>+(D5-G5)^2</f>
        <v>81</v>
      </c>
      <c r="D31" s="72">
        <f>+(E5-H5)^2</f>
        <v>64</v>
      </c>
      <c r="E31" s="72">
        <f>+(F5-I5)^2</f>
        <v>169</v>
      </c>
      <c r="F31" s="72"/>
      <c r="G31" s="72"/>
    </row>
    <row r="32" spans="2:39" x14ac:dyDescent="0.2">
      <c r="B32" s="72">
        <f>+(C6-F6)^2</f>
        <v>9</v>
      </c>
      <c r="C32" s="72">
        <f>+(D6-G6)^2</f>
        <v>144</v>
      </c>
      <c r="D32" s="72">
        <f>+(E6-H6)^2</f>
        <v>4</v>
      </c>
      <c r="E32" s="72">
        <f>+(F6-I6)^2</f>
        <v>9</v>
      </c>
      <c r="F32" s="72"/>
      <c r="G32" s="72"/>
    </row>
    <row r="33" spans="2:7" x14ac:dyDescent="0.2">
      <c r="B33" s="72">
        <f>+(C7-F7)^2</f>
        <v>81</v>
      </c>
      <c r="C33" s="72">
        <f>+(D7-G7)^2</f>
        <v>9</v>
      </c>
      <c r="D33" s="72">
        <f>+(E7-H7)^2</f>
        <v>64</v>
      </c>
      <c r="E33" s="72">
        <f>+(F7-I7)^2</f>
        <v>0</v>
      </c>
      <c r="F33" s="72"/>
      <c r="G33" s="72"/>
    </row>
  </sheetData>
  <mergeCells count="4">
    <mergeCell ref="C1:E1"/>
    <mergeCell ref="M1:O1"/>
    <mergeCell ref="W1:Y1"/>
    <mergeCell ref="AG1:A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CV</vt:lpstr>
      <vt:lpstr>LORENZ</vt:lpstr>
      <vt:lpstr>EX2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Heidari, Zoya</dc:creator>
  <cp:lastModifiedBy>Renato Poli</cp:lastModifiedBy>
  <dcterms:created xsi:type="dcterms:W3CDTF">2016-02-15T02:56:19Z</dcterms:created>
  <dcterms:modified xsi:type="dcterms:W3CDTF">2023-11-07T20:52:26Z</dcterms:modified>
</cp:coreProperties>
</file>