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C:\UpdateInvestment\"/>
    </mc:Choice>
  </mc:AlternateContent>
  <xr:revisionPtr revIDLastSave="0" documentId="13_ncr:1_{E2AB54EC-0A36-4AD9-B5B2-7BAB6FDA7DEA}" xr6:coauthVersionLast="47" xr6:coauthVersionMax="47" xr10:uidLastSave="{00000000-0000-0000-0000-000000000000}"/>
  <bookViews>
    <workbookView xWindow="600" yWindow="0" windowWidth="22464" windowHeight="11628" xr2:uid="{00000000-000D-0000-FFFF-FFFF00000000}"/>
  </bookViews>
  <sheets>
    <sheet name="BASE" sheetId="1" r:id="rId1"/>
    <sheet name="realoc rosa" sheetId="4" state="hidden" r:id="rId2"/>
    <sheet name="Grafico2" sheetId="9" state="hidden" r:id="rId3"/>
    <sheet name="Grafico1" sheetId="8" state="hidden" r:id="rId4"/>
  </sheet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55" i="1" l="1"/>
  <c r="L55" i="1"/>
  <c r="J15" i="1"/>
  <c r="L15" i="1"/>
  <c r="I47" i="4"/>
  <c r="I48" i="4"/>
  <c r="I46" i="4"/>
  <c r="I45" i="4"/>
  <c r="J45" i="4"/>
  <c r="J48" i="4"/>
  <c r="J49" i="4"/>
  <c r="J44" i="4"/>
  <c r="D51" i="4"/>
  <c r="D4" i="4"/>
  <c r="D3" i="4"/>
  <c r="D5" i="4"/>
  <c r="D6" i="4"/>
  <c r="D7" i="4"/>
  <c r="D25" i="4"/>
  <c r="I25" i="4"/>
  <c r="D31" i="4"/>
  <c r="C23" i="4"/>
  <c r="J18" i="1"/>
  <c r="L18" i="1"/>
  <c r="J27" i="1"/>
  <c r="L27" i="1"/>
  <c r="J28" i="1"/>
  <c r="J25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6" i="1"/>
  <c r="L17" i="1"/>
  <c r="L19" i="1"/>
  <c r="L20" i="1"/>
  <c r="L21" i="1"/>
  <c r="L22" i="1"/>
  <c r="L23" i="1"/>
  <c r="L24" i="1"/>
  <c r="L25" i="1"/>
  <c r="L26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6" i="1"/>
  <c r="J17" i="1"/>
  <c r="J19" i="1"/>
  <c r="J20" i="1"/>
  <c r="J21" i="1"/>
  <c r="J22" i="1"/>
  <c r="J23" i="1"/>
  <c r="J24" i="1"/>
  <c r="J26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AA26" i="4"/>
  <c r="AB19" i="4"/>
  <c r="AB18" i="4"/>
  <c r="P6" i="4"/>
  <c r="P7" i="4"/>
  <c r="P8" i="4"/>
  <c r="P9" i="4"/>
  <c r="P10" i="4"/>
  <c r="H1" i="4"/>
  <c r="H23" i="4"/>
  <c r="I37" i="4"/>
  <c r="J37" i="4" s="1"/>
  <c r="D37" i="4"/>
  <c r="I3" i="4"/>
  <c r="I15" i="4" s="1"/>
  <c r="O2" i="4"/>
  <c r="AB15" i="4"/>
  <c r="J47" i="4" l="1"/>
  <c r="J46" i="4"/>
  <c r="AB21" i="4"/>
  <c r="I4" i="4"/>
  <c r="I6" i="4"/>
  <c r="D34" i="4"/>
  <c r="D38" i="4"/>
  <c r="D26" i="4"/>
  <c r="D30" i="4"/>
  <c r="I10" i="4"/>
  <c r="I14" i="4"/>
  <c r="I28" i="4"/>
  <c r="J28" i="4" s="1"/>
  <c r="I32" i="4"/>
  <c r="J32" i="4" s="1"/>
  <c r="I36" i="4"/>
  <c r="J36" i="4" s="1"/>
  <c r="I8" i="4"/>
  <c r="I12" i="4"/>
  <c r="I16" i="4"/>
  <c r="I26" i="4"/>
  <c r="J26" i="4" s="1"/>
  <c r="K26" i="4" s="1"/>
  <c r="L26" i="4" s="1"/>
  <c r="I30" i="4"/>
  <c r="J30" i="4" s="1"/>
  <c r="I34" i="4"/>
  <c r="J34" i="4" s="1"/>
  <c r="I38" i="4"/>
  <c r="J38" i="4" s="1"/>
  <c r="D28" i="4"/>
  <c r="D32" i="4"/>
  <c r="D36" i="4"/>
  <c r="G2" i="4"/>
  <c r="B24" i="4"/>
  <c r="D27" i="4"/>
  <c r="D29" i="4"/>
  <c r="D33" i="4"/>
  <c r="D35" i="4"/>
  <c r="G24" i="4"/>
  <c r="I5" i="4"/>
  <c r="I7" i="4"/>
  <c r="I9" i="4"/>
  <c r="I11" i="4"/>
  <c r="I13" i="4"/>
  <c r="I27" i="4"/>
  <c r="J27" i="4" s="1"/>
  <c r="I29" i="4"/>
  <c r="J29" i="4" s="1"/>
  <c r="I31" i="4"/>
  <c r="J31" i="4" s="1"/>
  <c r="I33" i="4"/>
  <c r="J33" i="4" s="1"/>
  <c r="I35" i="4"/>
  <c r="J35" i="4" s="1"/>
  <c r="D39" i="4" l="1"/>
  <c r="I39" i="4"/>
  <c r="J39" i="4" s="1"/>
  <c r="I17" i="4"/>
  <c r="D8" i="4"/>
</calcChain>
</file>

<file path=xl/sharedStrings.xml><?xml version="1.0" encoding="utf-8"?>
<sst xmlns="http://schemas.openxmlformats.org/spreadsheetml/2006/main" count="525" uniqueCount="177">
  <si>
    <t>Ativo</t>
  </si>
  <si>
    <t>Ticker</t>
  </si>
  <si>
    <t>Peso</t>
  </si>
  <si>
    <t>Até que preço comprar</t>
  </si>
  <si>
    <t>CSHG Real State FII - Unica</t>
  </si>
  <si>
    <t>HGRE11</t>
  </si>
  <si>
    <t>CSHG Logística</t>
  </si>
  <si>
    <t>HGLG11</t>
  </si>
  <si>
    <t>VBI Logistico</t>
  </si>
  <si>
    <t>LVBI11</t>
  </si>
  <si>
    <t>Vectis Juros Real</t>
  </si>
  <si>
    <t>VCJR11</t>
  </si>
  <si>
    <t>FII Spx Syn Multiestrategia-Unica</t>
  </si>
  <si>
    <t>SPXS11</t>
  </si>
  <si>
    <t>FCFL11</t>
  </si>
  <si>
    <t>TRX Real Estate FII Closed Fund</t>
  </si>
  <si>
    <t>TRXF11</t>
  </si>
  <si>
    <t>Rio Bravo Renda Varejo</t>
  </si>
  <si>
    <t>RBVA11</t>
  </si>
  <si>
    <t>carteira</t>
  </si>
  <si>
    <t>FII</t>
  </si>
  <si>
    <t>PRIO3</t>
  </si>
  <si>
    <t>BPAC11</t>
  </si>
  <si>
    <t>SHUL4</t>
  </si>
  <si>
    <t>CSUD3</t>
  </si>
  <si>
    <t>INBR32</t>
  </si>
  <si>
    <t>Ações LP</t>
  </si>
  <si>
    <t>Ações DY</t>
  </si>
  <si>
    <t>BBSE3</t>
  </si>
  <si>
    <t>ITUB3</t>
  </si>
  <si>
    <t>VALE3</t>
  </si>
  <si>
    <t>VIVT3</t>
  </si>
  <si>
    <t>SPYI11</t>
  </si>
  <si>
    <t>Edwards</t>
  </si>
  <si>
    <t>STOCKS</t>
  </si>
  <si>
    <t>CCJ</t>
  </si>
  <si>
    <t>Cameco Uranio</t>
  </si>
  <si>
    <t>Edwards Lifesciences</t>
  </si>
  <si>
    <t>TSMC</t>
  </si>
  <si>
    <t>Taiwan Semiconductor Manufacturing Company Limited</t>
  </si>
  <si>
    <t>ultima_att</t>
  </si>
  <si>
    <t>Renda Fixa</t>
  </si>
  <si>
    <t>Cripto</t>
  </si>
  <si>
    <t>BTC</t>
  </si>
  <si>
    <t>Bitcoin</t>
  </si>
  <si>
    <t>Total Geral</t>
  </si>
  <si>
    <t>Valor de realocação FII</t>
  </si>
  <si>
    <t>Classe</t>
  </si>
  <si>
    <t>Stocks</t>
  </si>
  <si>
    <t>Etherium</t>
  </si>
  <si>
    <t>ETH</t>
  </si>
  <si>
    <t>Caixa</t>
  </si>
  <si>
    <t>obs</t>
  </si>
  <si>
    <t>COMPRAR</t>
  </si>
  <si>
    <t>META platforms, inc</t>
  </si>
  <si>
    <t>META</t>
  </si>
  <si>
    <t>Netflix</t>
  </si>
  <si>
    <t>NFLX</t>
  </si>
  <si>
    <t>TLT iShares 20+ Year Treasury Bond ETF</t>
  </si>
  <si>
    <t>TLT</t>
  </si>
  <si>
    <t>Halozyme Therapeutics, Inc.</t>
  </si>
  <si>
    <t>HALO</t>
  </si>
  <si>
    <t>H&amp;E Equipment Services, Inc.</t>
  </si>
  <si>
    <t>HEES</t>
  </si>
  <si>
    <t>Hims &amp; Hers Health, Inc.</t>
  </si>
  <si>
    <t>HIMS</t>
  </si>
  <si>
    <t>Valor de realocação AçõesDY</t>
  </si>
  <si>
    <t>Valor Carteira atual</t>
  </si>
  <si>
    <t>Mês atual</t>
  </si>
  <si>
    <t>BTG Pactual Logistica FII-Unica</t>
  </si>
  <si>
    <t>BTLG11</t>
  </si>
  <si>
    <t>Xp Malls FI-Unica</t>
  </si>
  <si>
    <t>XPML11</t>
  </si>
  <si>
    <t>Hedge Brasil Shopping</t>
  </si>
  <si>
    <t>HGBS11</t>
  </si>
  <si>
    <t>Solana</t>
  </si>
  <si>
    <t>SOL</t>
  </si>
  <si>
    <t>Valor</t>
  </si>
  <si>
    <t>Cyrela Crédito</t>
  </si>
  <si>
    <t>CYCR11</t>
  </si>
  <si>
    <t>Campus Faria Lima</t>
  </si>
  <si>
    <t>MANTER</t>
  </si>
  <si>
    <t>CPFE3</t>
  </si>
  <si>
    <t>EGIE3</t>
  </si>
  <si>
    <t>BRAV3</t>
  </si>
  <si>
    <t xml:space="preserve"> PRIO3 Petro Rio S.A.</t>
  </si>
  <si>
    <t xml:space="preserve"> BPAC11 Banco BTG Pactual S.A.</t>
  </si>
  <si>
    <t xml:space="preserve"> INBR32 Inter &amp; Co Inc</t>
  </si>
  <si>
    <t xml:space="preserve"> SHUL4 Schulz S.A.</t>
  </si>
  <si>
    <t xml:space="preserve"> CSUD3 CSU Digital S.A.</t>
  </si>
  <si>
    <t xml:space="preserve"> BRAV3 Brava Energia</t>
  </si>
  <si>
    <t>Mauá Capital Real Estate Fundos de Investimento Imobiliário”</t>
  </si>
  <si>
    <t>MCRE11</t>
  </si>
  <si>
    <t>Fluxo financeiro</t>
  </si>
  <si>
    <t>descrição</t>
  </si>
  <si>
    <t>D/C</t>
  </si>
  <si>
    <t>valor</t>
  </si>
  <si>
    <t>Rosa M Terapias</t>
  </si>
  <si>
    <t>Padaria</t>
  </si>
  <si>
    <t>c</t>
  </si>
  <si>
    <t>d</t>
  </si>
  <si>
    <t>Role</t>
  </si>
  <si>
    <t>Mercado</t>
  </si>
  <si>
    <t>Aplicação Reserva</t>
  </si>
  <si>
    <t>Resgate Reserva</t>
  </si>
  <si>
    <t>data</t>
  </si>
  <si>
    <t>Comer fora</t>
  </si>
  <si>
    <t>Acordo de divida</t>
  </si>
  <si>
    <t>Farmacia</t>
  </si>
  <si>
    <t>Sapatos</t>
  </si>
  <si>
    <t>Transferencia de saldo</t>
  </si>
  <si>
    <t>Fatura cartão</t>
  </si>
  <si>
    <t>Aposentadoria</t>
  </si>
  <si>
    <t>categoria</t>
  </si>
  <si>
    <t>Aporte</t>
  </si>
  <si>
    <t>aporte</t>
  </si>
  <si>
    <t>Aporte corretora</t>
  </si>
  <si>
    <t>saldo em conta</t>
  </si>
  <si>
    <t>Curso de ingles</t>
  </si>
  <si>
    <t>Correios</t>
  </si>
  <si>
    <t>Vitamina</t>
  </si>
  <si>
    <t>Curos judaismo</t>
  </si>
  <si>
    <t>Planejamento Financeiro</t>
  </si>
  <si>
    <t>contas</t>
  </si>
  <si>
    <t>Soma de valor</t>
  </si>
  <si>
    <t>Colocou em reserva =</t>
  </si>
  <si>
    <t>total gastos variáveis superfulos que poderia ser diminuidos</t>
  </si>
  <si>
    <t>Ganhos mês =</t>
  </si>
  <si>
    <t>Gastos mês =</t>
  </si>
  <si>
    <t xml:space="preserve">Liquides = </t>
  </si>
  <si>
    <t>rentabilidade anual</t>
  </si>
  <si>
    <t>rentabilidade proporcional</t>
  </si>
  <si>
    <t>Caixa USDT</t>
  </si>
  <si>
    <t>Caixa Dolar</t>
  </si>
  <si>
    <t>dy</t>
  </si>
  <si>
    <t>dy porporcional</t>
  </si>
  <si>
    <t>WEG</t>
  </si>
  <si>
    <t>WEGE3</t>
  </si>
  <si>
    <t>BBSE3 BB Seguridade Participações S.A.</t>
  </si>
  <si>
    <t>ITUB3 Itaú Unibanco Holding S.A.</t>
  </si>
  <si>
    <t>ISAE4 ISA Energia Brasil S.A</t>
  </si>
  <si>
    <t>VIVT3 Telefônica Brasil S.A.</t>
  </si>
  <si>
    <t>VALE3 Vale S.A.</t>
  </si>
  <si>
    <t>SPYI11 Buena Vista US High Income ETF</t>
  </si>
  <si>
    <t>CPFE3 CPFL Energia S.A.</t>
  </si>
  <si>
    <t>EGIE3 Engie Brasil Energia S.A.</t>
  </si>
  <si>
    <t>ISAE4</t>
  </si>
  <si>
    <t>Kinea Rendimentos Imobiliários</t>
  </si>
  <si>
    <t>KNCR11</t>
  </si>
  <si>
    <t>CDI</t>
  </si>
  <si>
    <t>IPCA+</t>
  </si>
  <si>
    <t>Tesouro IPCA+ S/S</t>
  </si>
  <si>
    <t>Pró fixados tesouro Selic 2029</t>
  </si>
  <si>
    <t>Tesouro préfixado 2027 min, 10,25</t>
  </si>
  <si>
    <t>PRÉFIXADO</t>
  </si>
  <si>
    <t>PRIM</t>
  </si>
  <si>
    <t>Primoris Services Corporation</t>
  </si>
  <si>
    <t>100%</t>
  </si>
  <si>
    <t>CDB WILL</t>
  </si>
  <si>
    <t>-</t>
  </si>
  <si>
    <t>Tesouro pré 2028</t>
  </si>
  <si>
    <t>AAVE</t>
  </si>
  <si>
    <t>KEPL3 Kepler Weber S.A</t>
  </si>
  <si>
    <t>KEPL3</t>
  </si>
  <si>
    <t>KNUQ11</t>
  </si>
  <si>
    <t>FII KINEA UM</t>
  </si>
  <si>
    <t>manter</t>
  </si>
  <si>
    <t>VAMO3</t>
  </si>
  <si>
    <t>Vamos locação de caminhões</t>
  </si>
  <si>
    <t>Petroreconcavo S.A</t>
  </si>
  <si>
    <t>RECV3</t>
  </si>
  <si>
    <t>Totale complessivo</t>
  </si>
  <si>
    <t>Etichette di riga</t>
  </si>
  <si>
    <t>UNI</t>
  </si>
  <si>
    <t>UNISWAP</t>
  </si>
  <si>
    <t>Brookfield Corporation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</si>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</sst>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mmmm\,\ yyyy;@"/>
    <numFmt numFmtId="166" formatCode="&quot;R$&quot;\ #,##0.00"/>
    <numFmt numFmtId="167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4" fillId="0" borderId="0"/>
  </cellStyleXfs>
  <cellXfs count="52">
    <xf numFmtId="0" fontId="0" fillId="0" borderId="0" xfId="0"/>
    <xf numFmtId="9" fontId="0" fillId="0" borderId="0" xfId="0" applyNumberFormat="1"/>
    <xf numFmtId="14" fontId="0" fillId="0" borderId="0" xfId="0" applyNumberFormat="1"/>
    <xf numFmtId="0" fontId="2" fillId="2" borderId="0" xfId="0" applyFont="1" applyFill="1"/>
    <xf numFmtId="0" fontId="0" fillId="0" borderId="0" xfId="0" pivotButton="1"/>
    <xf numFmtId="44" fontId="0" fillId="0" borderId="0" xfId="2" applyFont="1"/>
    <xf numFmtId="9" fontId="0" fillId="0" borderId="0" xfId="1" applyFont="1"/>
    <xf numFmtId="44" fontId="0" fillId="0" borderId="1" xfId="2" applyFont="1" applyBorder="1"/>
    <xf numFmtId="44" fontId="0" fillId="3" borderId="1" xfId="2" applyFont="1" applyFill="1" applyBorder="1"/>
    <xf numFmtId="164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2" applyNumberFormat="1" applyFont="1"/>
    <xf numFmtId="44" fontId="0" fillId="0" borderId="0" xfId="0" applyNumberFormat="1"/>
    <xf numFmtId="0" fontId="3" fillId="0" borderId="0" xfId="3" applyFont="1" applyFill="1" applyBorder="1"/>
    <xf numFmtId="0" fontId="3" fillId="0" borderId="0" xfId="3" applyFont="1" applyFill="1" applyBorder="1"/>
    <xf numFmtId="2" fontId="3" fillId="0" borderId="0" xfId="3" applyNumberFormat="1" applyFont="1" applyFill="1" applyBorder="1"/>
    <xf numFmtId="2" fontId="0" fillId="0" borderId="0" xfId="0" applyNumberFormat="1"/>
    <xf numFmtId="2" fontId="4" fillId="0" borderId="0" xfId="4" applyNumberFormat="1" applyFont="1" applyFill="1" applyBorder="1"/>
    <xf numFmtId="44" fontId="0" fillId="0" borderId="1" xfId="2" applyNumberFormat="1" applyFont="1" applyBorder="1"/>
    <xf numFmtId="9" fontId="0" fillId="0" borderId="0" xfId="1" applyFont="1" applyAlignment="1">
      <alignment horizontal="center" vertical="center"/>
    </xf>
    <xf numFmtId="9" fontId="2" fillId="2" borderId="0" xfId="1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44" fontId="0" fillId="0" borderId="3" xfId="2" applyFont="1" applyBorder="1"/>
    <xf numFmtId="44" fontId="0" fillId="0" borderId="8" xfId="2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NumberFormat="1"/>
    <xf numFmtId="166" fontId="0" fillId="0" borderId="0" xfId="0" applyNumberFormat="1"/>
    <xf numFmtId="0" fontId="0" fillId="4" borderId="0" xfId="0" applyFill="1" applyAlignment="1">
      <alignment horizontal="left"/>
    </xf>
    <xf numFmtId="166" fontId="0" fillId="4" borderId="0" xfId="0" applyNumberFormat="1" applyFill="1"/>
    <xf numFmtId="166" fontId="0" fillId="3" borderId="5" xfId="0" applyNumberFormat="1" applyFill="1" applyBorder="1"/>
    <xf numFmtId="0" fontId="0" fillId="3" borderId="4" xfId="0" applyFill="1" applyBorder="1"/>
    <xf numFmtId="0" fontId="0" fillId="0" borderId="1" xfId="0" applyBorder="1" applyAlignment="1">
      <alignment horizontal="right"/>
    </xf>
    <xf numFmtId="44" fontId="0" fillId="0" borderId="1" xfId="2" applyFont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4" fillId="0" borderId="0" xfId="3" applyFont="1" applyFill="1" applyBorder="1"/>
    <xf numFmtId="9" fontId="0" fillId="0" borderId="1" xfId="1" applyFont="1" applyBorder="1"/>
    <xf numFmtId="167" fontId="0" fillId="0" borderId="1" xfId="0" applyNumberFormat="1" applyBorder="1"/>
    <xf numFmtId="164" fontId="0" fillId="0" borderId="1" xfId="0" applyNumberFormat="1" applyBorder="1"/>
    <xf numFmtId="44" fontId="0" fillId="0" borderId="0" xfId="2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8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</cellXfs>
  <cellStyles count="5">
    <cellStyle name="Moeda" xfId="2" builtinId="4"/>
    <cellStyle name="Normal" xfId="0" builtinId="0"/>
    <cellStyle name="Normal 2" xfId="3" xr:uid="{8D278A66-B7CE-4B97-A5A8-03DF32E9B205}"/>
    <cellStyle name="Normal 3" xfId="4" xr:uid="{606E982B-EF31-4BA1-B700-F68C3DE65F6A}"/>
    <cellStyle name="Porcentagem" xfId="1" builtinId="5"/>
  </cellStyles>
  <dxfs count="1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3" formatCode="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3" formatCode="0%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3" formatCode="0%"/>
    </dxf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3351711"/>
        <c:axId val="953352191"/>
      </c:barChart>
      <c:catAx>
        <c:axId val="953351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3352191"/>
        <c:crosses val="autoZero"/>
        <c:auto val="1"/>
        <c:lblAlgn val="ctr"/>
        <c:lblOffset val="100"/>
        <c:noMultiLvlLbl val="0"/>
      </c:catAx>
      <c:valAx>
        <c:axId val="95335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335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3347871"/>
        <c:axId val="953355071"/>
      </c:barChart>
      <c:catAx>
        <c:axId val="953347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3355071"/>
        <c:crosses val="autoZero"/>
        <c:auto val="1"/>
        <c:lblAlgn val="ctr"/>
        <c:lblOffset val="100"/>
        <c:noMultiLvlLbl val="0"/>
      </c:catAx>
      <c:valAx>
        <c:axId val="95335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334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D8690C-45FD-4ABF-ABA8-D61586908564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5CE3EF-E10F-4E41-9821-8DEBF8BFAC22}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73" cy="6074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2A54EF0-18CF-5EB0-880F-2BA51376B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673" cy="6074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0C4C4B8-DD79-7C81-84AE-094DA92BAE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n" refreshedDate="45881.935942824071" createdVersion="8" refreshedVersion="8" minRefreshableVersion="3" recordCount="83" xr:uid="{BB52CAC5-9C9B-4015-AE5A-D78E51C3DAE5}">
  <cacheSource type="worksheet">
    <worksheetSource name="Tabela5"/>
  </cacheSource>
  <cacheFields count="5">
    <cacheField name="descrição" numFmtId="0">
      <sharedItems count="21">
        <s v="Rosa M Terapias"/>
        <s v="Padaria"/>
        <s v="Role"/>
        <s v="Mercado"/>
        <s v="Aplicação Reserva"/>
        <s v="Resgate Reserva"/>
        <s v="Comer fora"/>
        <s v="Acordo de divida"/>
        <s v="Farmacia"/>
        <s v="Sapatos"/>
        <s v="Transferencia de saldo"/>
        <s v="Fatura cartão"/>
        <s v="Aposentadoria"/>
        <s v="Aporte corretora"/>
        <s v="saldo em conta"/>
        <s v="Curso de ingles"/>
        <s v="Correios"/>
        <s v="Vitamina"/>
        <s v="Curos judaismo"/>
        <s v="Planejamento Financeiro"/>
        <s v="contas"/>
      </sharedItems>
    </cacheField>
    <cacheField name="D/C" numFmtId="0">
      <sharedItems count="2">
        <s v="c"/>
        <s v="d"/>
      </sharedItems>
    </cacheField>
    <cacheField name="valor" numFmtId="44">
      <sharedItems containsSemiMixedTypes="0" containsString="0" containsNumber="1" minValue="0.85" maxValue="2350"/>
    </cacheField>
    <cacheField name="data" numFmtId="14">
      <sharedItems containsSemiMixedTypes="0" containsNonDate="0" containsDate="1" containsString="0" minDate="2024-11-01T00:00:00" maxDate="2024-12-01T00:00:00"/>
    </cacheField>
    <cacheField name="categori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n" refreshedDate="45881.935943055556" createdVersion="8" refreshedVersion="8" minRefreshableVersion="3" recordCount="54" xr:uid="{0709F2E0-8FFF-43DC-B7CD-F807C9A03FB0}">
  <cacheSource type="worksheet">
    <worksheetSource name="tb_base_carteira"/>
  </cacheSource>
  <cacheFields count="11">
    <cacheField name="Ativo" numFmtId="0">
      <sharedItems/>
    </cacheField>
    <cacheField name="Ticker" numFmtId="0">
      <sharedItems containsBlank="1" count="91">
        <s v="PRIO3"/>
        <s v="BPAC11"/>
        <s v="INBR32"/>
        <s v="SHUL4"/>
        <s v="CSUD3"/>
        <s v="BRAV3"/>
        <s v="WEGE3"/>
        <s v="VAMO3"/>
        <s v="TSMC"/>
        <s v="HALO"/>
        <s v="HEES"/>
        <s v="HIMS"/>
        <s v="META"/>
        <s v="Caixa Dolar"/>
        <s v="TLT"/>
        <s v="CCJ"/>
        <s v="PRIM"/>
        <s v="NFLX"/>
        <s v="Edwards"/>
        <s v="CDI"/>
        <s v="IPCA+"/>
        <s v="PRÉFIXADO"/>
        <s v="ETH"/>
        <s v="BTC"/>
        <s v="SOL"/>
        <s v="AAVE"/>
        <s v="UNI"/>
        <s v="Caixa USDT"/>
        <s v="BBSE3"/>
        <s v="ITUB3"/>
        <s v="ISAE4"/>
        <s v="VIVT3"/>
        <s v="VALE3"/>
        <s v="SPYI11"/>
        <s v="CPFE3"/>
        <s v="KEPL3"/>
        <s v="RECV3"/>
        <s v="EGIE3"/>
        <s v="MCRE11"/>
        <s v="VCJR11"/>
        <s v="SPXS11"/>
        <s v="HGLG11"/>
        <s v="HGRE11"/>
        <s v="TRXF11"/>
        <s v="CYCR11"/>
        <s v="LVBI11"/>
        <s v="BTLG11"/>
        <s v="XPML11"/>
        <s v="KNCR11"/>
        <s v="HGBS11"/>
        <s v="KNUQ11"/>
        <s v="RBVA11"/>
        <s v="FCFL11"/>
        <s v="BN"/>
        <s v="PENDLE" u="1"/>
        <s v="RAIL3" u="1"/>
        <s v="NEAR" u="1"/>
        <s v="VLID3" u="1"/>
        <s v="VBBR3" u="1"/>
        <s v="NEOE3" u="1"/>
        <s v="RCRB11" u="1"/>
        <s v="CDB Inter" u="1"/>
        <s v="CDB Pan" u="1"/>
        <s v="ICPA + 5,50%" u="1"/>
        <s v="CDB" u="1"/>
        <s v="TRPL4" u="1"/>
        <s v="HSML11" u="1"/>
        <s v="LINK" u="1"/>
        <s v="BNB" u="1"/>
        <s v="DESK3" u="1"/>
        <s v="Caixa" u="1"/>
        <s v="MCHY11" u="1"/>
        <s v="RVBI11" u="1"/>
        <s v="RRRP3" u="1"/>
        <s v="EGIE3 " u="1"/>
        <s v="FET" u="1"/>
        <s v="MAGIC" u="1"/>
        <s v="TIA" u="1"/>
        <s v="XMR" u="1"/>
        <s v="OOKI" u="1"/>
        <s v="LDO" u="1"/>
        <m u="1"/>
        <s v="TASA4" u="1"/>
        <s v="MSFT" u="1"/>
        <s v="PG" u="1"/>
        <s v="SHY" u="1"/>
        <s v="APPLE" u="1"/>
        <s v="LUV" u="1"/>
        <s v="AVAX" u="1"/>
        <s v="INJ" u="1"/>
        <s v="USDT" u="1"/>
      </sharedItems>
    </cacheField>
    <cacheField name="Peso" numFmtId="9">
      <sharedItems containsSemiMixedTypes="0" containsString="0" containsNumber="1" minValue="0.02" maxValue="0.55000000000000004" count="95">
        <n v="0.21"/>
        <n v="0.15049999999999999"/>
        <n v="0.25"/>
        <n v="0.12820000000000001"/>
        <n v="9.0200000000000002E-2"/>
        <n v="4.3200000000000002E-2"/>
        <n v="7.3400000000000007E-2"/>
        <n v="0.05"/>
        <n v="0.16400000000000001"/>
        <n v="8.5400000000000004E-2"/>
        <n v="0.12"/>
        <n v="0.11"/>
        <n v="0.09"/>
        <n v="0.15"/>
        <n v="0.04"/>
        <n v="0.06"/>
        <n v="0.55000000000000004"/>
        <n v="0.35"/>
        <n v="0.1"/>
        <n v="0.2"/>
        <n v="0.45"/>
        <n v="0.15390000000000001"/>
        <n v="0.12180000000000001"/>
        <n v="0.1002"/>
        <n v="8.8300000000000003E-2"/>
        <n v="6.9000000000000006E-2"/>
        <n v="7.1999999999999995E-2"/>
        <n v="7.9000000000000001E-2"/>
        <n v="9.1399999999999995E-2"/>
        <n v="8.0600000000000005E-2"/>
        <n v="7.4999999999999997E-2"/>
        <n v="7.0000000000000007E-2"/>
        <n v="5.5E-2"/>
        <n v="4.4999999999999998E-2"/>
        <n v="0.03"/>
        <n v="0.08" u="1"/>
        <n v="6.4699999999999994E-2" u="1"/>
        <n v="0.27300000000000002" u="1"/>
        <n v="0.1464" u="1"/>
        <n v="9.5000000000000001E-2" u="1"/>
        <n v="0.24099999999999999" u="1"/>
        <n v="0.5" u="1"/>
        <n v="0.13819999999999999" u="1"/>
        <n v="0.12529999999999999" u="1"/>
        <n v="9.8799999999999999E-2" u="1"/>
        <n v="9.1700000000000004E-2" u="1"/>
        <n v="7.8200000000000006E-2" u="1"/>
        <n v="6.4199999999999993E-2" u="1"/>
        <n v="7.6899999999999996E-2" u="1"/>
        <n v="8.3099999999999993E-2" u="1"/>
        <n v="9.2799999999999994E-2" u="1"/>
        <n v="8.8900000000000007E-2" u="1"/>
        <n v="6.1899999999999997E-2" u="1"/>
        <n v="0.3" u="1"/>
        <n v="0.28460000000000002" u="1"/>
        <n v="0.13900000000000001" u="1"/>
        <n v="0.11310000000000001" u="1"/>
        <n v="8.3799999999999999E-2" u="1"/>
        <n v="6.3799999999999996E-2" u="1"/>
        <n v="8.6999999999999994E-2" u="1"/>
        <n v="9.3600000000000003E-2" u="1"/>
        <n v="0.1351" u="1"/>
        <n v="0.1431" u="1"/>
        <n v="0.1007" u="1"/>
        <n v="0.1239" u="1"/>
        <n v="0.1191" u="1"/>
        <n v="8.8800000000000004E-2" u="1"/>
        <n v="0.1023" u="1"/>
        <n v="3.8399999999999997E-2" u="1"/>
        <n v="5.3100000000000001E-2" u="1"/>
        <n v="5.79E-2" u="1"/>
        <n v="6.7900000000000002E-2" u="1"/>
        <n v="5.8000000000000003E-2" u="1"/>
        <n v="0.26" u="1"/>
        <n v="0.14000000000000001" u="1"/>
        <n v="0.14849999999999999" u="1"/>
        <n v="0.115" u="1"/>
        <n v="0.13" u="1"/>
        <n v="8.1500000000000003E-2" u="1"/>
        <n v="0.125" u="1"/>
        <n v="0.27" u="1"/>
        <n v="0.02" u="1"/>
        <n v="0.14499999999999999" u="1"/>
        <n v="0.11799999999999999" u="1"/>
        <n v="9.0999999999999998E-2" u="1"/>
        <n v="6.2E-2" u="1"/>
        <n v="8.7999999999999995E-2" u="1"/>
        <n v="8.5000000000000006E-2" u="1"/>
        <n v="0.13700000000000001" u="1"/>
        <n v="0.13800000000000001" u="1"/>
        <n v="0.111" u="1"/>
        <n v="0.122" u="1"/>
        <n v="0.123" u="1"/>
        <n v="9.1999999999999998E-2" u="1"/>
        <n v="3.7999999999999999E-2" u="1"/>
      </sharedItems>
    </cacheField>
    <cacheField name="Até que preço comprar" numFmtId="2">
      <sharedItems containsSemiMixedTypes="0" containsString="0" containsNumber="1" minValue="0" maxValue="116000" count="135">
        <n v="45"/>
        <n v="42"/>
        <n v="6"/>
        <n v="20"/>
        <n v="21"/>
        <n v="4.5"/>
        <n v="235"/>
        <n v="74"/>
        <n v="56.68"/>
        <n v="60"/>
        <n v="750"/>
        <n v="0"/>
        <n v="94"/>
        <n v="75"/>
        <n v="86"/>
        <n v="1200"/>
        <n v="77"/>
        <n v="1"/>
        <n v="5"/>
        <n v="30"/>
        <n v="3875"/>
        <n v="116000"/>
        <n v="180"/>
        <n v="284"/>
        <n v="5.52"/>
        <n v="11.76"/>
        <n v="40"/>
        <n v="35"/>
        <n v="27"/>
        <n v="29"/>
        <n v="71"/>
        <n v="130"/>
        <n v="40.5"/>
        <n v="9.5"/>
        <n v="19"/>
        <n v="46"/>
        <n v="9.64"/>
        <n v="95.44"/>
        <n v="8.9"/>
        <n v="159"/>
        <n v="114.19"/>
        <n v="101.9"/>
        <n v="8.98"/>
        <n v="150"/>
        <n v="102"/>
        <n v="110"/>
        <n v="105"/>
        <n v="106"/>
        <n v="10.7"/>
        <n v="127"/>
        <n v="63"/>
        <n v="1400" u="1"/>
        <n v="3000" u="1"/>
        <n v="104000" u="1"/>
        <n v="140" u="1"/>
        <n v="240" u="1"/>
        <n v="3.7" u="1"/>
        <n v="36.5" u="1"/>
        <n v="34" u="1"/>
        <n v="24" u="1"/>
        <n v="41" u="1"/>
        <n v="9.7100000000000009" u="1"/>
        <n v="166.4" u="1"/>
        <n v="105.6" u="1"/>
        <n v="112.94" u="1"/>
        <n v="9.4600000000000009" u="1"/>
        <n v="120" u="1"/>
        <n v="104" u="1"/>
        <n v="101.49" u="1"/>
        <n v="224" u="1"/>
        <n v="128" u="1"/>
        <n v="107.37" u="1"/>
        <n v="113" u="1"/>
        <n v="52" u="1"/>
        <n v="38" u="1"/>
        <n v="43" u="1"/>
        <n v="8.5" u="1"/>
        <n v="56" u="1"/>
        <n v="192.95" u="1"/>
        <n v="57.15" u="1"/>
        <n v="20.36" u="1"/>
        <n v="567.16" u="1"/>
        <n v="93" u="1"/>
        <n v="27.22" u="1"/>
        <n v="80" u="1"/>
        <n v="756.1" u="1"/>
        <n v="98.39" u="1"/>
        <n v="67000" u="1"/>
        <n v="5.0599999999999996" u="1"/>
        <n v="58" u="1"/>
        <n v="25" u="1"/>
        <n v="28" u="1"/>
        <n v="17" u="1"/>
        <n v="10" u="1"/>
        <n v="500" u="1"/>
        <n v="9.6" u="1"/>
        <n v="95.4" u="1"/>
        <n v="98.8" u="1"/>
        <n v="9.6999999999999993" u="1"/>
        <n v="112.9" u="1"/>
        <n v="107.4" u="1"/>
        <n v="1.65" u="1"/>
        <n v="95.1" u="1"/>
        <n v="100" u="1"/>
        <n v="166" u="1"/>
        <n v="83.1" u="1"/>
        <n v="112" u="1"/>
        <n v="9.4" u="1"/>
        <n v="73.5" u="1"/>
        <n v="19.5" u="1"/>
        <n v="57" u="1"/>
        <n v="464" u="1"/>
        <n v="645" u="1"/>
        <n v="61000" u="1"/>
        <n v="107" u="1"/>
        <n v="83.89" u="1"/>
        <n v="121" u="1"/>
        <n v="163" u="1"/>
        <n v="181" u="1"/>
        <n v="9.7799999999999994" u="1"/>
        <n v="9.69" u="1"/>
        <n v="95.61" u="1"/>
        <n v="9.6199999999999992" u="1"/>
        <n v="117" u="1"/>
        <n v="108" u="1"/>
        <n v="47" u="1"/>
        <n v="7" u="1"/>
        <n v="16" u="1"/>
        <n v="9" u="1"/>
        <n v="73" u="1"/>
        <n v="170" u="1"/>
        <n v="18" u="1"/>
        <n v="6.4" u="1"/>
        <n v="1.6999999999999999E-3" u="1"/>
        <n v="1.75" u="1"/>
      </sharedItems>
    </cacheField>
    <cacheField name="carteira" numFmtId="0">
      <sharedItems count="6">
        <s v="Ações LP"/>
        <s v="STOCKS"/>
        <s v="Renda Fixa"/>
        <s v="Cripto"/>
        <s v="Ações DY"/>
        <s v="FII"/>
      </sharedItems>
    </cacheField>
    <cacheField name="ultima_att" numFmtId="14">
      <sharedItems containsSemiMixedTypes="0" containsNonDate="0" containsDate="1" containsString="0" minDate="2025-08-10T00:00:00" maxDate="2025-08-11T00:00:00"/>
    </cacheField>
    <cacheField name="obs" numFmtId="0">
      <sharedItems/>
    </cacheField>
    <cacheField name="rentabilidade anual" numFmtId="0">
      <sharedItems containsString="0" containsBlank="1" containsNumber="1" minValue="-27.37" maxValue="430"/>
    </cacheField>
    <cacheField name="rentabilidade proporcional" numFmtId="0">
      <sharedItems containsSemiMixedTypes="0" containsString="0" containsNumber="1" minValue="-3.0106999999999999" maxValue="57.271499999999996"/>
    </cacheField>
    <cacheField name="dy" numFmtId="0">
      <sharedItems containsString="0" containsBlank="1" containsNumber="1" minValue="3.25" maxValue="15.51"/>
    </cacheField>
    <cacheField name="dy porporcional" numFmtId="0">
      <sharedItems containsSemiMixedTypes="0" containsString="0" containsNumber="1" minValue="0" maxValue="1.7060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">
  <r>
    <x v="0"/>
    <x v="0"/>
    <n v="100"/>
    <d v="2024-11-01T00:00:00"/>
    <m/>
  </r>
  <r>
    <x v="0"/>
    <x v="0"/>
    <n v="80"/>
    <d v="2024-11-01T00:00:00"/>
    <m/>
  </r>
  <r>
    <x v="1"/>
    <x v="1"/>
    <n v="50"/>
    <d v="2024-11-01T00:00:00"/>
    <m/>
  </r>
  <r>
    <x v="0"/>
    <x v="0"/>
    <n v="100"/>
    <d v="2024-11-01T00:00:00"/>
    <m/>
  </r>
  <r>
    <x v="0"/>
    <x v="0"/>
    <n v="80"/>
    <d v="2024-11-01T00:00:00"/>
    <m/>
  </r>
  <r>
    <x v="2"/>
    <x v="1"/>
    <n v="350"/>
    <d v="2024-11-02T00:00:00"/>
    <m/>
  </r>
  <r>
    <x v="0"/>
    <x v="0"/>
    <n v="400"/>
    <d v="2024-11-03T00:00:00"/>
    <m/>
  </r>
  <r>
    <x v="3"/>
    <x v="1"/>
    <n v="194.14"/>
    <d v="2024-11-03T00:00:00"/>
    <m/>
  </r>
  <r>
    <x v="4"/>
    <x v="1"/>
    <n v="32"/>
    <d v="2024-11-03T00:00:00"/>
    <s v="Aporte"/>
  </r>
  <r>
    <x v="0"/>
    <x v="0"/>
    <n v="100"/>
    <d v="2024-11-03T00:00:00"/>
    <m/>
  </r>
  <r>
    <x v="2"/>
    <x v="1"/>
    <n v="150"/>
    <d v="2024-11-03T00:00:00"/>
    <m/>
  </r>
  <r>
    <x v="5"/>
    <x v="0"/>
    <n v="500"/>
    <d v="2024-11-04T00:00:00"/>
    <m/>
  </r>
  <r>
    <x v="0"/>
    <x v="0"/>
    <n v="80"/>
    <d v="2024-11-04T00:00:00"/>
    <m/>
  </r>
  <r>
    <x v="6"/>
    <x v="1"/>
    <n v="18"/>
    <d v="2024-11-04T00:00:00"/>
    <m/>
  </r>
  <r>
    <x v="6"/>
    <x v="1"/>
    <n v="21"/>
    <d v="2024-11-04T00:00:00"/>
    <m/>
  </r>
  <r>
    <x v="0"/>
    <x v="0"/>
    <n v="80"/>
    <d v="2024-11-04T00:00:00"/>
    <m/>
  </r>
  <r>
    <x v="7"/>
    <x v="1"/>
    <n v="94.84"/>
    <d v="2024-11-05T00:00:00"/>
    <m/>
  </r>
  <r>
    <x v="8"/>
    <x v="1"/>
    <n v="72"/>
    <d v="2024-11-05T00:00:00"/>
    <m/>
  </r>
  <r>
    <x v="0"/>
    <x v="0"/>
    <n v="100"/>
    <d v="2024-11-05T00:00:00"/>
    <m/>
  </r>
  <r>
    <x v="9"/>
    <x v="1"/>
    <n v="96"/>
    <d v="2024-11-06T00:00:00"/>
    <m/>
  </r>
  <r>
    <x v="10"/>
    <x v="0"/>
    <n v="300"/>
    <d v="2024-11-06T00:00:00"/>
    <m/>
  </r>
  <r>
    <x v="11"/>
    <x v="1"/>
    <n v="368.34"/>
    <d v="2024-11-06T00:00:00"/>
    <m/>
  </r>
  <r>
    <x v="12"/>
    <x v="1"/>
    <n v="282.39999999999998"/>
    <d v="2024-11-06T00:00:00"/>
    <s v="Aporte"/>
  </r>
  <r>
    <x v="4"/>
    <x v="1"/>
    <n v="1000"/>
    <d v="2024-11-06T00:00:00"/>
    <s v="Aporte"/>
  </r>
  <r>
    <x v="0"/>
    <x v="0"/>
    <n v="160"/>
    <d v="2024-11-06T00:00:00"/>
    <m/>
  </r>
  <r>
    <x v="13"/>
    <x v="1"/>
    <n v="100"/>
    <d v="2024-11-06T00:00:00"/>
    <s v="Aporte"/>
  </r>
  <r>
    <x v="0"/>
    <x v="0"/>
    <n v="100"/>
    <d v="2024-11-07T00:00:00"/>
    <m/>
  </r>
  <r>
    <x v="0"/>
    <x v="0"/>
    <n v="160"/>
    <d v="2024-11-07T00:00:00"/>
    <m/>
  </r>
  <r>
    <x v="0"/>
    <x v="0"/>
    <n v="100"/>
    <d v="2024-11-07T00:00:00"/>
    <m/>
  </r>
  <r>
    <x v="0"/>
    <x v="0"/>
    <n v="200"/>
    <d v="2024-11-08T00:00:00"/>
    <m/>
  </r>
  <r>
    <x v="0"/>
    <x v="0"/>
    <n v="160"/>
    <d v="2024-11-08T00:00:00"/>
    <m/>
  </r>
  <r>
    <x v="0"/>
    <x v="0"/>
    <n v="80"/>
    <d v="2024-11-10T00:00:00"/>
    <m/>
  </r>
  <r>
    <x v="0"/>
    <x v="0"/>
    <n v="100"/>
    <d v="2024-11-10T00:00:00"/>
    <m/>
  </r>
  <r>
    <x v="0"/>
    <x v="0"/>
    <n v="80"/>
    <d v="2024-11-10T00:00:00"/>
    <m/>
  </r>
  <r>
    <x v="0"/>
    <x v="0"/>
    <n v="80"/>
    <d v="2024-11-11T00:00:00"/>
    <m/>
  </r>
  <r>
    <x v="5"/>
    <x v="0"/>
    <n v="1059"/>
    <d v="2024-11-12T00:00:00"/>
    <m/>
  </r>
  <r>
    <x v="0"/>
    <x v="0"/>
    <n v="100"/>
    <d v="2024-11-12T00:00:00"/>
    <m/>
  </r>
  <r>
    <x v="0"/>
    <x v="0"/>
    <n v="160"/>
    <d v="2024-11-12T00:00:00"/>
    <m/>
  </r>
  <r>
    <x v="4"/>
    <x v="1"/>
    <n v="27"/>
    <d v="2024-11-12T00:00:00"/>
    <s v="Aporte"/>
  </r>
  <r>
    <x v="4"/>
    <x v="1"/>
    <n v="2350"/>
    <d v="2024-11-13T00:00:00"/>
    <s v="Aporte"/>
  </r>
  <r>
    <x v="14"/>
    <x v="1"/>
    <n v="800"/>
    <d v="2024-11-13T00:00:00"/>
    <m/>
  </r>
  <r>
    <x v="10"/>
    <x v="0"/>
    <n v="250"/>
    <d v="2024-11-14T00:00:00"/>
    <m/>
  </r>
  <r>
    <x v="15"/>
    <x v="1"/>
    <n v="249.25"/>
    <d v="2024-11-14T00:00:00"/>
    <m/>
  </r>
  <r>
    <x v="5"/>
    <x v="0"/>
    <n v="347"/>
    <d v="2024-11-14T00:00:00"/>
    <m/>
  </r>
  <r>
    <x v="5"/>
    <x v="0"/>
    <n v="153"/>
    <d v="2024-11-14T00:00:00"/>
    <m/>
  </r>
  <r>
    <x v="5"/>
    <x v="0"/>
    <n v="0.85"/>
    <d v="2024-11-14T00:00:00"/>
    <m/>
  </r>
  <r>
    <x v="0"/>
    <x v="0"/>
    <n v="80"/>
    <d v="2024-11-14T00:00:00"/>
    <m/>
  </r>
  <r>
    <x v="0"/>
    <x v="0"/>
    <n v="160"/>
    <d v="2024-11-17T00:00:00"/>
    <m/>
  </r>
  <r>
    <x v="0"/>
    <x v="0"/>
    <n v="100"/>
    <d v="2024-11-17T00:00:00"/>
    <m/>
  </r>
  <r>
    <x v="0"/>
    <x v="0"/>
    <n v="100"/>
    <d v="2024-11-18T00:00:00"/>
    <m/>
  </r>
  <r>
    <x v="2"/>
    <x v="1"/>
    <n v="200"/>
    <d v="2024-11-18T00:00:00"/>
    <m/>
  </r>
  <r>
    <x v="10"/>
    <x v="1"/>
    <n v="300"/>
    <d v="2024-11-18T00:00:00"/>
    <m/>
  </r>
  <r>
    <x v="0"/>
    <x v="0"/>
    <n v="80"/>
    <d v="2024-11-18T00:00:00"/>
    <m/>
  </r>
  <r>
    <x v="0"/>
    <x v="0"/>
    <n v="80"/>
    <d v="2024-11-18T00:00:00"/>
    <m/>
  </r>
  <r>
    <x v="0"/>
    <x v="0"/>
    <n v="100"/>
    <d v="2024-11-19T00:00:00"/>
    <m/>
  </r>
  <r>
    <x v="0"/>
    <x v="0"/>
    <n v="100"/>
    <d v="2024-11-19T00:00:00"/>
    <m/>
  </r>
  <r>
    <x v="0"/>
    <x v="0"/>
    <n v="100"/>
    <d v="2024-11-19T00:00:00"/>
    <m/>
  </r>
  <r>
    <x v="16"/>
    <x v="1"/>
    <n v="500"/>
    <d v="2024-11-19T00:00:00"/>
    <m/>
  </r>
  <r>
    <x v="11"/>
    <x v="1"/>
    <n v="180.15"/>
    <d v="2024-11-21T00:00:00"/>
    <m/>
  </r>
  <r>
    <x v="0"/>
    <x v="0"/>
    <n v="100"/>
    <d v="2024-11-22T00:00:00"/>
    <m/>
  </r>
  <r>
    <x v="6"/>
    <x v="1"/>
    <n v="100"/>
    <d v="2024-11-22T00:00:00"/>
    <m/>
  </r>
  <r>
    <x v="0"/>
    <x v="0"/>
    <n v="100"/>
    <d v="2024-11-22T00:00:00"/>
    <m/>
  </r>
  <r>
    <x v="0"/>
    <x v="0"/>
    <n v="80"/>
    <d v="2024-11-24T00:00:00"/>
    <m/>
  </r>
  <r>
    <x v="17"/>
    <x v="1"/>
    <n v="40"/>
    <d v="2024-11-24T00:00:00"/>
    <m/>
  </r>
  <r>
    <x v="0"/>
    <x v="0"/>
    <n v="100"/>
    <d v="2024-11-24T00:00:00"/>
    <m/>
  </r>
  <r>
    <x v="0"/>
    <x v="0"/>
    <n v="100"/>
    <d v="2024-11-25T00:00:00"/>
    <m/>
  </r>
  <r>
    <x v="0"/>
    <x v="0"/>
    <n v="80"/>
    <d v="2024-11-25T00:00:00"/>
    <m/>
  </r>
  <r>
    <x v="0"/>
    <x v="0"/>
    <n v="80"/>
    <d v="2024-11-25T00:00:00"/>
    <m/>
  </r>
  <r>
    <x v="18"/>
    <x v="1"/>
    <n v="544"/>
    <d v="2024-11-26T00:00:00"/>
    <m/>
  </r>
  <r>
    <x v="0"/>
    <x v="0"/>
    <n v="100"/>
    <d v="2024-11-26T00:00:00"/>
    <m/>
  </r>
  <r>
    <x v="0"/>
    <x v="0"/>
    <n v="100"/>
    <d v="2024-11-26T00:00:00"/>
    <m/>
  </r>
  <r>
    <x v="0"/>
    <x v="0"/>
    <n v="100"/>
    <d v="2024-11-26T00:00:00"/>
    <m/>
  </r>
  <r>
    <x v="0"/>
    <x v="0"/>
    <n v="100"/>
    <d v="2024-11-26T00:00:00"/>
    <m/>
  </r>
  <r>
    <x v="0"/>
    <x v="0"/>
    <n v="300"/>
    <d v="2024-11-27T00:00:00"/>
    <m/>
  </r>
  <r>
    <x v="0"/>
    <x v="0"/>
    <n v="80"/>
    <d v="2024-11-27T00:00:00"/>
    <m/>
  </r>
  <r>
    <x v="0"/>
    <x v="0"/>
    <n v="100"/>
    <d v="2024-11-27T00:00:00"/>
    <m/>
  </r>
  <r>
    <x v="0"/>
    <x v="0"/>
    <n v="80"/>
    <d v="2024-11-27T00:00:00"/>
    <m/>
  </r>
  <r>
    <x v="19"/>
    <x v="1"/>
    <n v="100"/>
    <d v="2024-11-28T00:00:00"/>
    <m/>
  </r>
  <r>
    <x v="11"/>
    <x v="1"/>
    <n v="265.10000000000002"/>
    <d v="2024-11-28T00:00:00"/>
    <m/>
  </r>
  <r>
    <x v="10"/>
    <x v="1"/>
    <n v="100"/>
    <d v="2024-11-29T00:00:00"/>
    <m/>
  </r>
  <r>
    <x v="0"/>
    <x v="0"/>
    <n v="100"/>
    <d v="2024-11-29T00:00:00"/>
    <m/>
  </r>
  <r>
    <x v="0"/>
    <x v="0"/>
    <n v="80"/>
    <d v="2024-11-29T00:00:00"/>
    <m/>
  </r>
  <r>
    <x v="20"/>
    <x v="1"/>
    <n v="100"/>
    <d v="2024-11-30T00:00:0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s v=" PRIO3 Petro Rio S.A."/>
    <x v="0"/>
    <x v="0"/>
    <x v="0"/>
    <x v="0"/>
    <d v="2025-08-10T00:00:00"/>
    <s v="COMPRAR"/>
    <n v="-3.55"/>
    <n v="-0.74549999999999994"/>
    <m/>
    <n v="0"/>
  </r>
  <r>
    <s v=" BPAC11 Banco BTG Pactual S.A."/>
    <x v="1"/>
    <x v="1"/>
    <x v="1"/>
    <x v="0"/>
    <d v="2025-08-10T00:00:00"/>
    <s v="manter"/>
    <n v="-7.86"/>
    <n v="-1.18293"/>
    <m/>
    <n v="0"/>
  </r>
  <r>
    <s v=" INBR32 Inter &amp; Co Inc"/>
    <x v="2"/>
    <x v="2"/>
    <x v="1"/>
    <x v="0"/>
    <d v="2025-08-10T00:00:00"/>
    <s v="COMPRAR"/>
    <n v="11.88"/>
    <n v="2.97"/>
    <m/>
    <n v="0"/>
  </r>
  <r>
    <s v=" SHUL4 Schulz S.A."/>
    <x v="3"/>
    <x v="3"/>
    <x v="2"/>
    <x v="0"/>
    <d v="2025-08-10T00:00:00"/>
    <s v="COMPRAR"/>
    <n v="-8.9700000000000006"/>
    <n v="-1.1499540000000001"/>
    <m/>
    <n v="0"/>
  </r>
  <r>
    <s v=" CSUD3 CSU Digital S.A."/>
    <x v="4"/>
    <x v="4"/>
    <x v="3"/>
    <x v="0"/>
    <d v="2025-08-10T00:00:00"/>
    <s v="COMPRAR"/>
    <n v="-11.4"/>
    <n v="-1.0282800000000001"/>
    <m/>
    <n v="0"/>
  </r>
  <r>
    <s v=" BRAV3 Brava Energia"/>
    <x v="5"/>
    <x v="5"/>
    <x v="4"/>
    <x v="0"/>
    <d v="2025-08-10T00:00:00"/>
    <s v="COMPRAR"/>
    <n v="-20.46"/>
    <n v="-0.8838720000000001"/>
    <m/>
    <n v="0"/>
  </r>
  <r>
    <s v="WEG"/>
    <x v="6"/>
    <x v="6"/>
    <x v="0"/>
    <x v="0"/>
    <d v="2025-08-10T00:00:00"/>
    <s v="COMPRAR"/>
    <n v="65.72"/>
    <n v="4.8238480000000008"/>
    <m/>
    <n v="0"/>
  </r>
  <r>
    <s v="Vamos locação de caminhões"/>
    <x v="7"/>
    <x v="7"/>
    <x v="5"/>
    <x v="0"/>
    <d v="2025-08-10T00:00:00"/>
    <s v="COMPRAR"/>
    <n v="-23.55"/>
    <n v="-1.1775"/>
    <m/>
    <n v="0"/>
  </r>
  <r>
    <s v="Taiwan Semiconductor Manufacturing Company Limited"/>
    <x v="8"/>
    <x v="8"/>
    <x v="6"/>
    <x v="1"/>
    <d v="2025-08-10T00:00:00"/>
    <s v="COMPRAR"/>
    <n v="156.30000000000001"/>
    <n v="25.633200000000002"/>
    <m/>
    <n v="0"/>
  </r>
  <r>
    <s v="Halozyme Therapeutics, Inc."/>
    <x v="9"/>
    <x v="9"/>
    <x v="7"/>
    <x v="1"/>
    <d v="2025-08-10T00:00:00"/>
    <s v="COMPRAR"/>
    <n v="21.8"/>
    <n v="1.86172"/>
    <m/>
    <n v="0"/>
  </r>
  <r>
    <s v="H&amp;E Equipment Services, Inc."/>
    <x v="10"/>
    <x v="10"/>
    <x v="8"/>
    <x v="1"/>
    <d v="2025-08-10T00:00:00"/>
    <s v="manter"/>
    <n v="28.87"/>
    <n v="3.4643999999999999"/>
    <m/>
    <n v="0"/>
  </r>
  <r>
    <s v="Hims &amp; Hers Health, Inc."/>
    <x v="11"/>
    <x v="11"/>
    <x v="9"/>
    <x v="1"/>
    <d v="2025-08-10T00:00:00"/>
    <s v="manter"/>
    <n v="279.83999999999997"/>
    <n v="30.782399999999999"/>
    <m/>
    <n v="0"/>
  </r>
  <r>
    <s v="META platforms, inc"/>
    <x v="12"/>
    <x v="12"/>
    <x v="10"/>
    <x v="1"/>
    <d v="2025-08-10T00:00:00"/>
    <s v="COMPRAR"/>
    <n v="96.8"/>
    <n v="8.7119999999999997"/>
    <m/>
    <n v="0"/>
  </r>
  <r>
    <s v="Caixa"/>
    <x v="13"/>
    <x v="13"/>
    <x v="11"/>
    <x v="1"/>
    <d v="2025-08-10T00:00:00"/>
    <s v="COMPRAR"/>
    <n v="24.02"/>
    <n v="3.6029999999999998"/>
    <m/>
    <n v="0"/>
  </r>
  <r>
    <s v="TLT iShares 20+ Year Treasury Bond ETF"/>
    <x v="14"/>
    <x v="7"/>
    <x v="12"/>
    <x v="1"/>
    <d v="2025-08-10T00:00:00"/>
    <s v="manter"/>
    <n v="-1.68"/>
    <n v="-8.4000000000000005E-2"/>
    <m/>
    <n v="0"/>
  </r>
  <r>
    <s v="Cameco Uranio"/>
    <x v="15"/>
    <x v="7"/>
    <x v="13"/>
    <x v="1"/>
    <d v="2025-08-10T00:00:00"/>
    <s v="COMPRAR"/>
    <n v="36.85"/>
    <n v="1.8425000000000002"/>
    <m/>
    <n v="0"/>
  </r>
  <r>
    <s v="Primoris Services Corporation"/>
    <x v="16"/>
    <x v="14"/>
    <x v="14"/>
    <x v="1"/>
    <d v="2025-08-10T00:00:00"/>
    <s v="COMPRAR"/>
    <m/>
    <n v="0"/>
    <m/>
    <n v="0"/>
  </r>
  <r>
    <s v="Netflix"/>
    <x v="17"/>
    <x v="15"/>
    <x v="15"/>
    <x v="1"/>
    <d v="2025-08-10T00:00:00"/>
    <s v="COMPRAR"/>
    <n v="107.21"/>
    <n v="6.432599999999999"/>
    <m/>
    <n v="0"/>
  </r>
  <r>
    <s v="Edwards Lifesciences"/>
    <x v="18"/>
    <x v="14"/>
    <x v="16"/>
    <x v="1"/>
    <d v="2025-08-10T00:00:00"/>
    <s v="COMPRAR"/>
    <n v="3.91"/>
    <n v="0.15640000000000001"/>
    <m/>
    <n v="0"/>
  </r>
  <r>
    <s v="Pró fixados tesouro Selic 2029"/>
    <x v="19"/>
    <x v="16"/>
    <x v="17"/>
    <x v="2"/>
    <d v="2025-08-10T00:00:00"/>
    <s v="COMPRAR"/>
    <n v="13.39"/>
    <n v="7.3645000000000005"/>
    <m/>
    <n v="0"/>
  </r>
  <r>
    <s v="Tesouro IPCA+ S/S"/>
    <x v="20"/>
    <x v="17"/>
    <x v="18"/>
    <x v="2"/>
    <d v="2025-08-10T00:00:00"/>
    <s v="COMPRAR"/>
    <n v="14.63"/>
    <n v="5.1204999999999998"/>
    <m/>
    <n v="0"/>
  </r>
  <r>
    <s v="Tesouro préfixado 2027 min, 10,25"/>
    <x v="21"/>
    <x v="18"/>
    <x v="19"/>
    <x v="2"/>
    <d v="2025-08-10T00:00:00"/>
    <s v="COMPRAR"/>
    <n v="10.4"/>
    <n v="1.04"/>
    <m/>
    <n v="0"/>
  </r>
  <r>
    <s v="Etherium"/>
    <x v="22"/>
    <x v="19"/>
    <x v="20"/>
    <x v="3"/>
    <d v="2025-08-10T00:00:00"/>
    <s v="manter"/>
    <n v="83"/>
    <n v="16.600000000000001"/>
    <m/>
    <n v="0"/>
  </r>
  <r>
    <s v="Bitcoin"/>
    <x v="23"/>
    <x v="20"/>
    <x v="21"/>
    <x v="3"/>
    <d v="2025-08-10T00:00:00"/>
    <s v="manter"/>
    <n v="127.27"/>
    <n v="57.271499999999996"/>
    <m/>
    <n v="0"/>
  </r>
  <r>
    <s v="Solana"/>
    <x v="24"/>
    <x v="18"/>
    <x v="22"/>
    <x v="3"/>
    <d v="2025-08-10T00:00:00"/>
    <s v="COMPRAR"/>
    <n v="178.56"/>
    <n v="17.856000000000002"/>
    <m/>
    <n v="0"/>
  </r>
  <r>
    <s v="AAVE"/>
    <x v="25"/>
    <x v="7"/>
    <x v="23"/>
    <x v="3"/>
    <d v="2025-08-10T00:00:00"/>
    <s v="manter"/>
    <m/>
    <n v="0"/>
    <m/>
    <n v="0"/>
  </r>
  <r>
    <s v="UNISWAP"/>
    <x v="26"/>
    <x v="18"/>
    <x v="24"/>
    <x v="3"/>
    <d v="2025-08-10T00:00:00"/>
    <s v="COMPRAR"/>
    <n v="430"/>
    <n v="43"/>
    <m/>
    <n v="0"/>
  </r>
  <r>
    <s v="Caixa"/>
    <x v="27"/>
    <x v="18"/>
    <x v="25"/>
    <x v="3"/>
    <d v="2025-08-10T00:00:00"/>
    <s v="COMPRAR"/>
    <n v="24.02"/>
    <n v="2.4020000000000001"/>
    <m/>
    <n v="0"/>
  </r>
  <r>
    <s v="BBSE3 BB Seguridade Participações S.A."/>
    <x v="28"/>
    <x v="21"/>
    <x v="26"/>
    <x v="4"/>
    <d v="2025-08-10T00:00:00"/>
    <s v="manter"/>
    <n v="22.75"/>
    <n v="3.5012250000000003"/>
    <n v="7.48"/>
    <n v="1.1511720000000001"/>
  </r>
  <r>
    <s v="ITUB3 Itaú Unibanco Holding S.A."/>
    <x v="29"/>
    <x v="22"/>
    <x v="27"/>
    <x v="4"/>
    <d v="2025-08-10T00:00:00"/>
    <s v="COMPRAR"/>
    <n v="7.97"/>
    <n v="0.970746"/>
    <n v="8.14"/>
    <n v="0.99145200000000011"/>
  </r>
  <r>
    <s v="ISAE4 ISA Energia Brasil S.A"/>
    <x v="30"/>
    <x v="23"/>
    <x v="28"/>
    <x v="4"/>
    <d v="2025-08-10T00:00:00"/>
    <s v="COMPRAR"/>
    <n v="4.25"/>
    <n v="0.42585000000000001"/>
    <n v="8.93"/>
    <n v="0.89478599999999997"/>
  </r>
  <r>
    <s v="VIVT3 Telefônica Brasil S.A."/>
    <x v="31"/>
    <x v="24"/>
    <x v="29"/>
    <x v="4"/>
    <d v="2025-08-10T00:00:00"/>
    <s v="COMPRAR"/>
    <n v="-0.92"/>
    <n v="-8.1236000000000003E-2"/>
    <n v="3.25"/>
    <n v="0.28697500000000004"/>
  </r>
  <r>
    <s v="VALE3 Vale S.A."/>
    <x v="32"/>
    <x v="25"/>
    <x v="30"/>
    <x v="4"/>
    <d v="2025-08-10T00:00:00"/>
    <s v="COMPRAR"/>
    <n v="-15.06"/>
    <n v="-1.0391400000000002"/>
    <n v="8.4600000000000009"/>
    <n v="0.58374000000000015"/>
  </r>
  <r>
    <s v="SPYI11 Buena Vista US High Income ETF"/>
    <x v="33"/>
    <x v="26"/>
    <x v="31"/>
    <x v="4"/>
    <d v="2025-08-10T00:00:00"/>
    <s v="COMPRAR"/>
    <n v="39.68"/>
    <n v="2.8569599999999999"/>
    <n v="10.24"/>
    <n v="0.73727999999999994"/>
  </r>
  <r>
    <s v="CPFE3 CPFL Energia S.A."/>
    <x v="34"/>
    <x v="27"/>
    <x v="32"/>
    <x v="4"/>
    <d v="2025-08-10T00:00:00"/>
    <s v="COMPRAR"/>
    <n v="-6.13"/>
    <n v="-0.48426999999999998"/>
    <n v="8.6"/>
    <n v="0.6794"/>
  </r>
  <r>
    <s v="KEPL3 Kepler Weber S.A"/>
    <x v="35"/>
    <x v="28"/>
    <x v="33"/>
    <x v="4"/>
    <d v="2025-08-10T00:00:00"/>
    <s v="COMPRAR"/>
    <n v="22.27"/>
    <n v="2.0354779999999999"/>
    <n v="7.97"/>
    <n v="0.72845799999999994"/>
  </r>
  <r>
    <s v="Petroreconcavo S.A"/>
    <x v="36"/>
    <x v="27"/>
    <x v="34"/>
    <x v="4"/>
    <d v="2025-08-10T00:00:00"/>
    <s v="manter"/>
    <n v="-4.05"/>
    <n v="-0.31995000000000001"/>
    <n v="8.49"/>
    <n v="0.67071000000000003"/>
  </r>
  <r>
    <s v="EGIE3 Engie Brasil Energia S.A."/>
    <x v="37"/>
    <x v="29"/>
    <x v="35"/>
    <x v="4"/>
    <d v="2025-08-10T00:00:00"/>
    <s v="COMPRAR"/>
    <n v="-8.41"/>
    <n v="-0.67784600000000006"/>
    <n v="6.69"/>
    <n v="0.53921400000000008"/>
  </r>
  <r>
    <s v="Mauá Capital Real Estate Fundos de Investimento Imobiliário”"/>
    <x v="38"/>
    <x v="11"/>
    <x v="36"/>
    <x v="5"/>
    <d v="2025-08-10T00:00:00"/>
    <s v="COMPRAR"/>
    <n v="-27.37"/>
    <n v="-3.0106999999999999"/>
    <n v="15.51"/>
    <n v="1.7060999999999999"/>
  </r>
  <r>
    <s v="Vectis Juros Real"/>
    <x v="39"/>
    <x v="12"/>
    <x v="37"/>
    <x v="5"/>
    <d v="2025-08-10T00:00:00"/>
    <s v="manter"/>
    <n v="-13.53"/>
    <n v="-1.2177"/>
    <n v="14.7"/>
    <n v="1.323"/>
  </r>
  <r>
    <s v="FII Spx Syn Multiestrategia-Unica"/>
    <x v="40"/>
    <x v="18"/>
    <x v="38"/>
    <x v="5"/>
    <d v="2025-08-10T00:00:00"/>
    <s v="COMPRAR"/>
    <n v="-13.38"/>
    <n v="-1.3380000000000001"/>
    <n v="12.84"/>
    <n v="1.284"/>
  </r>
  <r>
    <s v="CSHG Logística"/>
    <x v="41"/>
    <x v="30"/>
    <x v="39"/>
    <x v="5"/>
    <d v="2025-08-10T00:00:00"/>
    <s v="COMPRAR"/>
    <n v="4.2"/>
    <n v="0.315"/>
    <n v="13.53"/>
    <n v="1.0147499999999998"/>
  </r>
  <r>
    <s v="CSHG Real State FII - Unica"/>
    <x v="42"/>
    <x v="31"/>
    <x v="40"/>
    <x v="5"/>
    <d v="2025-08-10T00:00:00"/>
    <s v="COMPRAR"/>
    <n v="-3.31"/>
    <n v="-0.23170000000000002"/>
    <n v="9.24"/>
    <n v="0.64680000000000004"/>
  </r>
  <r>
    <s v="TRX Real Estate FII Closed Fund"/>
    <x v="43"/>
    <x v="31"/>
    <x v="41"/>
    <x v="5"/>
    <d v="2025-08-10T00:00:00"/>
    <s v="COMPRAR"/>
    <n v="-21.04"/>
    <n v="-1.4728000000000001"/>
    <n v="11.23"/>
    <n v="0.78610000000000013"/>
  </r>
  <r>
    <s v="Cyrela Crédito"/>
    <x v="44"/>
    <x v="31"/>
    <x v="42"/>
    <x v="5"/>
    <d v="2025-08-10T00:00:00"/>
    <s v="COMPRAR"/>
    <n v="-6.67"/>
    <n v="-0.46690000000000004"/>
    <n v="12.73"/>
    <n v="0.89110000000000011"/>
  </r>
  <r>
    <s v="VBI Logistico"/>
    <x v="45"/>
    <x v="7"/>
    <x v="43"/>
    <x v="5"/>
    <d v="2025-08-10T00:00:00"/>
    <s v="COMPRAR"/>
    <n v="-14.85"/>
    <n v="-0.74250000000000005"/>
    <n v="11.8"/>
    <n v="0.59000000000000008"/>
  </r>
  <r>
    <s v="BTG Pactual Logistica FII-Unica"/>
    <x v="46"/>
    <x v="31"/>
    <x v="44"/>
    <x v="5"/>
    <d v="2025-08-10T00:00:00"/>
    <s v="COMPRAR"/>
    <n v="5.46"/>
    <n v="0.38220000000000004"/>
    <n v="10.7"/>
    <n v="0.749"/>
  </r>
  <r>
    <s v="Xp Malls FI-Unica"/>
    <x v="47"/>
    <x v="15"/>
    <x v="45"/>
    <x v="5"/>
    <d v="2025-08-10T00:00:00"/>
    <s v="COMPRAR"/>
    <n v="-8.2899999999999991"/>
    <n v="-0.49739999999999995"/>
    <n v="12.03"/>
    <n v="0.72179999999999989"/>
  </r>
  <r>
    <s v="Kinea Rendimentos Imobiliários"/>
    <x v="48"/>
    <x v="32"/>
    <x v="46"/>
    <x v="5"/>
    <d v="2025-08-10T00:00:00"/>
    <s v="COMPRAR"/>
    <n v="-14.2"/>
    <n v="-0.78099999999999992"/>
    <n v="11.39"/>
    <n v="0.62645000000000006"/>
  </r>
  <r>
    <s v="Hedge Brasil Shopping"/>
    <x v="49"/>
    <x v="32"/>
    <x v="3"/>
    <x v="5"/>
    <d v="2025-08-10T00:00:00"/>
    <s v="COMPRAR"/>
    <n v="-2.0499999999999998"/>
    <n v="-0.11274999999999999"/>
    <n v="14.82"/>
    <n v="0.81510000000000005"/>
  </r>
  <r>
    <s v="FII KINEA UM"/>
    <x v="50"/>
    <x v="7"/>
    <x v="47"/>
    <x v="5"/>
    <d v="2025-08-10T00:00:00"/>
    <s v="COMPRAR"/>
    <n v="-19.7"/>
    <n v="-0.98499999999999999"/>
    <n v="10.65"/>
    <n v="0.53250000000000008"/>
  </r>
  <r>
    <s v="Rio Bravo Renda Varejo"/>
    <x v="51"/>
    <x v="33"/>
    <x v="48"/>
    <x v="5"/>
    <d v="2025-08-10T00:00:00"/>
    <s v="COMPRAR"/>
    <n v="-20.73"/>
    <n v="-0.93284999999999996"/>
    <n v="14.05"/>
    <n v="0.63224999999999998"/>
  </r>
  <r>
    <s v="Campus Faria Lima"/>
    <x v="52"/>
    <x v="34"/>
    <x v="49"/>
    <x v="5"/>
    <d v="2025-08-10T00:00:00"/>
    <s v="COMPRAR"/>
    <n v="-4.6900000000000004"/>
    <n v="-0.14070000000000002"/>
    <n v="9.4600000000000009"/>
    <n v="0.2838"/>
  </r>
  <r>
    <s v="Brookfield Corporation"/>
    <x v="53"/>
    <x v="7"/>
    <x v="50"/>
    <x v="1"/>
    <d v="2025-08-10T00:00:00"/>
    <s v="COMPRAR"/>
    <m/>
    <n v="0"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D3E66C-B514-4725-BBC6-D15FE56B12EC}" name="Tabela dinâ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A6:AB10" firstHeaderRow="1" firstDataRow="1" firstDataCol="1" rowPageCount="1" colPageCount="1"/>
  <pivotFields count="5">
    <pivotField axis="axisRow" showAll="0" sortType="descending">
      <items count="22">
        <item x="7"/>
        <item x="4"/>
        <item x="13"/>
        <item x="12"/>
        <item x="6"/>
        <item x="20"/>
        <item x="16"/>
        <item x="18"/>
        <item x="15"/>
        <item x="8"/>
        <item x="11"/>
        <item x="3"/>
        <item x="1"/>
        <item x="19"/>
        <item x="5"/>
        <item x="2"/>
        <item x="0"/>
        <item x="14"/>
        <item x="9"/>
        <item x="10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3">
        <item x="0"/>
        <item h="1" x="1"/>
        <item t="default"/>
      </items>
    </pivotField>
    <pivotField dataField="1" numFmtId="44" showAll="0"/>
    <pivotField numFmtId="14" showAll="0"/>
    <pivotField showAll="0"/>
  </pivotFields>
  <rowFields count="1">
    <field x="0"/>
  </rowFields>
  <rowItems count="4">
    <i>
      <x v="16"/>
    </i>
    <i>
      <x v="14"/>
    </i>
    <i>
      <x v="19"/>
    </i>
    <i t="grand">
      <x/>
    </i>
  </rowItems>
  <colItems count="1">
    <i/>
  </colItems>
  <pageFields count="1">
    <pageField fld="1" hier="-1"/>
  </pageFields>
  <dataFields count="1">
    <dataField name="Soma de valor" fld="2" baseField="0" baseItem="4" numFmtId="166"/>
  </dataField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8ABCDE-A163-4C5E-B17E-C46E4A046CBD}" name="Tabela dinâ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otal Geral">
  <location ref="A25:C32" firstHeaderRow="1" firstDataRow="1" firstDataCol="3" rowPageCount="1" colPageCount="1"/>
  <pivotFields count="11">
    <pivotField showAll="0"/>
    <pivotField axis="axisRow" outline="0" showAll="0" defaultSubtotal="0">
      <items count="91">
        <item m="1" x="86"/>
        <item m="1" x="88"/>
        <item x="28"/>
        <item x="1"/>
        <item x="23"/>
        <item x="15"/>
        <item m="1" x="64"/>
        <item m="1" x="61"/>
        <item m="1" x="62"/>
        <item x="4"/>
        <item x="44"/>
        <item m="1" x="69"/>
        <item x="18"/>
        <item m="1" x="74"/>
        <item x="52"/>
        <item x="41"/>
        <item x="42"/>
        <item m="1" x="66"/>
        <item m="1" x="63"/>
        <item x="2"/>
        <item m="1" x="89"/>
        <item x="29"/>
        <item m="1" x="87"/>
        <item x="45"/>
        <item m="1" x="71"/>
        <item m="1" x="83"/>
        <item m="1" x="56"/>
        <item m="1" x="59"/>
        <item m="1" x="84"/>
        <item x="0"/>
        <item x="51"/>
        <item m="1" x="60"/>
        <item m="1" x="73"/>
        <item m="1" x="72"/>
        <item x="3"/>
        <item m="1" x="85"/>
        <item x="24"/>
        <item x="40"/>
        <item x="33"/>
        <item m="1" x="82"/>
        <item m="1" x="65"/>
        <item x="43"/>
        <item x="8"/>
        <item m="1" x="90"/>
        <item x="32"/>
        <item x="7"/>
        <item m="1" x="58"/>
        <item x="39"/>
        <item x="31"/>
        <item m="1" x="57"/>
        <item x="17"/>
        <item x="9"/>
        <item x="10"/>
        <item x="11"/>
        <item x="14"/>
        <item x="12"/>
        <item m="1" x="81"/>
        <item x="22"/>
        <item m="1" x="77"/>
        <item m="1" x="78"/>
        <item m="1" x="79"/>
        <item m="1" x="80"/>
        <item m="1" x="70"/>
        <item x="46"/>
        <item x="47"/>
        <item x="49"/>
        <item m="1" x="76"/>
        <item m="1" x="67"/>
        <item m="1" x="75"/>
        <item x="25"/>
        <item m="1" x="68"/>
        <item x="5"/>
        <item x="34"/>
        <item x="37"/>
        <item x="38"/>
        <item x="13"/>
        <item x="27"/>
        <item x="6"/>
        <item m="1" x="54"/>
        <item m="1" x="55"/>
        <item x="16"/>
        <item x="19"/>
        <item x="20"/>
        <item x="21"/>
        <item x="30"/>
        <item x="48"/>
        <item x="35"/>
        <item x="36"/>
        <item x="50"/>
        <item x="26"/>
        <item x="53"/>
      </items>
    </pivotField>
    <pivotField axis="axisRow" outline="0" showAll="0" defaultSubtotal="0">
      <items count="95">
        <item m="1" x="81"/>
        <item m="1" x="94"/>
        <item x="7"/>
        <item m="1" x="85"/>
        <item m="1" x="35"/>
        <item m="1" x="87"/>
        <item m="1" x="86"/>
        <item m="1" x="84"/>
        <item m="1" x="93"/>
        <item x="18"/>
        <item m="1" x="90"/>
        <item m="1" x="83"/>
        <item m="1" x="91"/>
        <item m="1" x="92"/>
        <item m="1" x="77"/>
        <item m="1" x="88"/>
        <item m="1" x="89"/>
        <item m="1" x="82"/>
        <item x="19"/>
        <item x="2"/>
        <item m="1" x="37"/>
        <item m="1" x="53"/>
        <item x="17"/>
        <item x="31"/>
        <item x="30"/>
        <item x="12"/>
        <item x="14"/>
        <item x="33"/>
        <item m="1" x="80"/>
        <item x="13"/>
        <item x="10"/>
        <item x="15"/>
        <item m="1" x="74"/>
        <item x="11"/>
        <item m="1" x="73"/>
        <item m="1" x="75"/>
        <item m="1" x="76"/>
        <item m="1" x="78"/>
        <item m="1" x="39"/>
        <item x="34"/>
        <item m="1" x="79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x="26"/>
        <item m="1" x="66"/>
        <item m="1" x="67"/>
        <item m="1" x="68"/>
        <item m="1" x="69"/>
        <item x="8"/>
        <item x="9"/>
        <item m="1" x="40"/>
        <item x="32"/>
        <item m="1" x="72"/>
        <item m="1" x="71"/>
        <item m="1" x="70"/>
        <item x="1"/>
        <item m="1" x="38"/>
        <item x="3"/>
        <item x="4"/>
        <item x="5"/>
        <item x="6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41"/>
        <item x="20"/>
        <item x="0"/>
        <item x="16"/>
        <item x="21"/>
        <item x="22"/>
        <item x="23"/>
        <item x="24"/>
        <item x="25"/>
        <item x="27"/>
        <item x="28"/>
        <item x="29"/>
        <item m="1" x="36"/>
      </items>
    </pivotField>
    <pivotField axis="axisRow" showAll="0">
      <items count="136">
        <item x="11"/>
        <item m="1" x="133"/>
        <item x="17"/>
        <item m="1" x="134"/>
        <item x="18"/>
        <item m="1" x="132"/>
        <item m="1" x="126"/>
        <item m="1" x="128"/>
        <item m="1" x="122"/>
        <item m="1" x="120"/>
        <item m="1" x="119"/>
        <item m="1" x="127"/>
        <item m="1" x="131"/>
        <item x="3"/>
        <item m="1" x="90"/>
        <item x="28"/>
        <item m="1" x="83"/>
        <item m="1" x="91"/>
        <item x="19"/>
        <item m="1" x="58"/>
        <item x="27"/>
        <item m="1" x="57"/>
        <item x="35"/>
        <item m="1" x="125"/>
        <item x="8"/>
        <item m="1" x="110"/>
        <item m="1" x="129"/>
        <item m="1" x="115"/>
        <item m="1" x="82"/>
        <item m="1" x="121"/>
        <item m="1" x="86"/>
        <item x="46"/>
        <item m="1" x="124"/>
        <item m="1" x="106"/>
        <item m="1" x="123"/>
        <item m="1" x="116"/>
        <item x="43"/>
        <item m="1" x="117"/>
        <item m="1" x="104"/>
        <item m="1" x="130"/>
        <item m="1" x="118"/>
        <item m="1" x="111"/>
        <item m="1" x="94"/>
        <item m="1" x="112"/>
        <item x="33"/>
        <item m="1" x="102"/>
        <item m="1" x="103"/>
        <item m="1" x="105"/>
        <item m="1" x="70"/>
        <item x="47"/>
        <item m="1" x="72"/>
        <item m="1" x="66"/>
        <item m="1" x="107"/>
        <item m="1" x="69"/>
        <item m="1" x="73"/>
        <item m="1" x="74"/>
        <item m="1" x="76"/>
        <item x="4"/>
        <item m="1" x="92"/>
        <item x="26"/>
        <item m="1" x="93"/>
        <item m="1" x="108"/>
        <item m="1" x="89"/>
        <item x="29"/>
        <item m="1" x="109"/>
        <item m="1" x="113"/>
        <item m="1" x="114"/>
        <item m="1" x="75"/>
        <item m="1" x="78"/>
        <item m="1" x="79"/>
        <item m="1" x="80"/>
        <item m="1" x="81"/>
        <item m="1" x="85"/>
        <item m="1" x="87"/>
        <item m="1" x="101"/>
        <item m="1" x="88"/>
        <item m="1" x="95"/>
        <item m="1" x="96"/>
        <item m="1" x="97"/>
        <item m="1" x="98"/>
        <item m="1" x="62"/>
        <item m="1" x="63"/>
        <item m="1" x="99"/>
        <item m="1" x="67"/>
        <item m="1" x="100"/>
        <item x="30"/>
        <item x="32"/>
        <item m="1" x="77"/>
        <item x="34"/>
        <item m="1" x="84"/>
        <item x="31"/>
        <item x="36"/>
        <item x="37"/>
        <item m="1" x="61"/>
        <item m="1" x="64"/>
        <item m="1" x="68"/>
        <item m="1" x="71"/>
        <item x="0"/>
        <item x="1"/>
        <item x="2"/>
        <item x="5"/>
        <item x="6"/>
        <item x="7"/>
        <item x="9"/>
        <item x="10"/>
        <item x="12"/>
        <item x="13"/>
        <item x="14"/>
        <item m="1" x="51"/>
        <item x="16"/>
        <item m="1" x="52"/>
        <item m="1" x="53"/>
        <item m="1" x="54"/>
        <item m="1" x="55"/>
        <item m="1" x="56"/>
        <item m="1" x="59"/>
        <item m="1" x="60"/>
        <item m="1" x="65"/>
        <item x="15"/>
        <item x="20"/>
        <item x="21"/>
        <item x="22"/>
        <item x="23"/>
        <item x="24"/>
        <item x="25"/>
        <item x="38"/>
        <item x="39"/>
        <item x="40"/>
        <item x="41"/>
        <item x="42"/>
        <item x="44"/>
        <item x="45"/>
        <item x="48"/>
        <item x="49"/>
        <item x="50"/>
        <item t="default"/>
      </items>
    </pivotField>
    <pivotField axis="axisPage" multipleItemSelectionAllowed="1" showAll="0">
      <items count="7">
        <item h="1" x="4"/>
        <item h="1" x="0"/>
        <item x="3"/>
        <item h="1" x="5"/>
        <item h="1" x="2"/>
        <item h="1" x="1"/>
        <item t="default"/>
      </items>
    </pivotField>
    <pivotField numFmtId="14" showAll="0"/>
    <pivotField showAll="0"/>
    <pivotField showAll="0"/>
    <pivotField showAll="0"/>
    <pivotField showAll="0"/>
    <pivotField showAll="0"/>
  </pivotFields>
  <rowFields count="3">
    <field x="1"/>
    <field x="2"/>
    <field x="3"/>
  </rowFields>
  <rowItems count="7">
    <i>
      <x v="4"/>
      <x v="83"/>
      <x v="120"/>
    </i>
    <i>
      <x v="36"/>
      <x v="9"/>
      <x v="121"/>
    </i>
    <i>
      <x v="57"/>
      <x v="18"/>
      <x v="119"/>
    </i>
    <i>
      <x v="69"/>
      <x v="2"/>
      <x v="122"/>
    </i>
    <i>
      <x v="76"/>
      <x v="9"/>
      <x v="124"/>
    </i>
    <i>
      <x v="89"/>
      <x v="9"/>
      <x v="123"/>
    </i>
    <i t="grand">
      <x/>
    </i>
  </rowItems>
  <colItems count="1">
    <i/>
  </colItems>
  <pageFields count="1">
    <pageField fld="4" hier="-1"/>
  </pageFields>
  <formats count="28">
    <format dxfId="35">
      <pivotArea dataOnly="0" labelOnly="1" outline="0" fieldPosition="0">
        <references count="1">
          <reference field="2" count="0"/>
        </references>
      </pivotArea>
    </format>
    <format dxfId="34">
      <pivotArea dataOnly="0" labelOnly="1" fieldPosition="0">
        <references count="2">
          <reference field="1" count="1" selected="0">
            <x v="14"/>
          </reference>
          <reference field="2" count="1">
            <x v="26"/>
          </reference>
        </references>
      </pivotArea>
    </format>
    <format dxfId="33">
      <pivotArea dataOnly="0" labelOnly="1" fieldPosition="0">
        <references count="2">
          <reference field="1" count="1" selected="0">
            <x v="15"/>
          </reference>
          <reference field="2" count="1">
            <x v="24"/>
          </reference>
        </references>
      </pivotArea>
    </format>
    <format dxfId="32">
      <pivotArea dataOnly="0" labelOnly="1" fieldPosition="0">
        <references count="2">
          <reference field="1" count="1" selected="0">
            <x v="16"/>
          </reference>
          <reference field="2" count="1">
            <x v="24"/>
          </reference>
        </references>
      </pivotArea>
    </format>
    <format dxfId="31">
      <pivotArea dataOnly="0" labelOnly="1" fieldPosition="0">
        <references count="2">
          <reference field="1" count="1" selected="0">
            <x v="17"/>
          </reference>
          <reference field="2" count="1">
            <x v="23"/>
          </reference>
        </references>
      </pivotArea>
    </format>
    <format dxfId="30">
      <pivotArea dataOnly="0" labelOnly="1" fieldPosition="0">
        <references count="2">
          <reference field="1" count="1" selected="0">
            <x v="23"/>
          </reference>
          <reference field="2" count="1">
            <x v="24"/>
          </reference>
        </references>
      </pivotArea>
    </format>
    <format dxfId="29">
      <pivotArea dataOnly="0" labelOnly="1" fieldPosition="0">
        <references count="2">
          <reference field="1" count="1" selected="0">
            <x v="30"/>
          </reference>
          <reference field="2" count="1">
            <x v="27"/>
          </reference>
        </references>
      </pivotArea>
    </format>
    <format dxfId="28">
      <pivotArea dataOnly="0" labelOnly="1" fieldPosition="0">
        <references count="2">
          <reference field="1" count="1" selected="0">
            <x v="31"/>
          </reference>
          <reference field="2" count="1">
            <x v="24"/>
          </reference>
        </references>
      </pivotArea>
    </format>
    <format dxfId="27">
      <pivotArea dataOnly="0" labelOnly="1" fieldPosition="0">
        <references count="2">
          <reference field="1" count="1" selected="0">
            <x v="41"/>
          </reference>
          <reference field="2" count="1">
            <x v="27"/>
          </reference>
        </references>
      </pivotArea>
    </format>
    <format dxfId="26">
      <pivotArea dataOnly="0" labelOnly="1" fieldPosition="0">
        <references count="2">
          <reference field="1" count="1" selected="0">
            <x v="10"/>
          </reference>
          <reference field="2" count="1">
            <x v="25"/>
          </reference>
        </references>
      </pivotArea>
    </format>
    <format dxfId="25">
      <pivotArea dataOnly="0" labelOnly="1" fieldPosition="0">
        <references count="2">
          <reference field="1" count="1" selected="0">
            <x v="14"/>
          </reference>
          <reference field="2" count="1">
            <x v="2"/>
          </reference>
        </references>
      </pivotArea>
    </format>
    <format dxfId="24">
      <pivotArea dataOnly="0" labelOnly="1" fieldPosition="0">
        <references count="2">
          <reference field="1" count="1" selected="0">
            <x v="15"/>
          </reference>
          <reference field="2" count="1">
            <x v="25"/>
          </reference>
        </references>
      </pivotArea>
    </format>
    <format dxfId="23">
      <pivotArea dataOnly="0" labelOnly="1" fieldPosition="0">
        <references count="2">
          <reference field="1" count="1" selected="0">
            <x v="16"/>
          </reference>
          <reference field="2" count="1">
            <x v="4"/>
          </reference>
        </references>
      </pivotArea>
    </format>
    <format dxfId="22">
      <pivotArea dataOnly="0" labelOnly="1" fieldPosition="0">
        <references count="2">
          <reference field="1" count="1" selected="0">
            <x v="17"/>
          </reference>
          <reference field="2" count="1">
            <x v="4"/>
          </reference>
        </references>
      </pivotArea>
    </format>
    <format dxfId="21">
      <pivotArea dataOnly="0" labelOnly="1" fieldPosition="0">
        <references count="2">
          <reference field="1" count="1" selected="0">
            <x v="23"/>
          </reference>
          <reference field="2" count="1">
            <x v="4"/>
          </reference>
        </references>
      </pivotArea>
    </format>
    <format dxfId="2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19">
      <pivotArea dataOnly="0" labelOnly="1" fieldPosition="0">
        <references count="2">
          <reference field="1" count="1" selected="0">
            <x v="30"/>
          </reference>
          <reference field="2" count="1">
            <x v="31"/>
          </reference>
        </references>
      </pivotArea>
    </format>
    <format dxfId="18">
      <pivotArea dataOnly="0" labelOnly="1" fieldPosition="0">
        <references count="2">
          <reference field="1" count="1" selected="0">
            <x v="31"/>
          </reference>
          <reference field="2" count="1">
            <x v="4"/>
          </reference>
        </references>
      </pivotArea>
    </format>
    <format dxfId="17">
      <pivotArea dataOnly="0" labelOnly="1" fieldPosition="0">
        <references count="2">
          <reference field="1" count="1" selected="0">
            <x v="33"/>
          </reference>
          <reference field="2" count="1">
            <x v="23"/>
          </reference>
        </references>
      </pivotArea>
    </format>
    <format dxfId="16">
      <pivotArea dataOnly="0" labelOnly="1" fieldPosition="0">
        <references count="2">
          <reference field="1" count="1" selected="0">
            <x v="37"/>
          </reference>
          <reference field="2" count="1">
            <x v="25"/>
          </reference>
        </references>
      </pivotArea>
    </format>
    <format dxfId="15">
      <pivotArea dataOnly="0" labelOnly="1" fieldPosition="0">
        <references count="2">
          <reference field="1" count="1" selected="0">
            <x v="41"/>
          </reference>
          <reference field="2" count="1">
            <x v="2"/>
          </reference>
        </references>
      </pivotArea>
    </format>
    <format dxfId="14">
      <pivotArea dataOnly="0" labelOnly="1" fieldPosition="0">
        <references count="2">
          <reference field="1" count="1" selected="0">
            <x v="47"/>
          </reference>
          <reference field="2" count="1">
            <x v="25"/>
          </reference>
        </references>
      </pivotArea>
    </format>
    <format dxfId="13">
      <pivotArea dataOnly="0" labelOnly="1" fieldPosition="0">
        <references count="3">
          <reference field="1" count="1" selected="0">
            <x v="4"/>
          </reference>
          <reference field="2" count="1" selected="0">
            <x v="40"/>
          </reference>
          <reference field="3" count="1">
            <x v="0"/>
          </reference>
        </references>
      </pivotArea>
    </format>
    <format dxfId="12">
      <pivotArea dataOnly="0" labelOnly="1" fieldPosition="0">
        <references count="3">
          <reference field="1" count="1" selected="0">
            <x v="57"/>
          </reference>
          <reference field="2" count="1" selected="0">
            <x v="40"/>
          </reference>
          <reference field="3" count="1">
            <x v="0"/>
          </reference>
        </references>
      </pivotArea>
    </format>
    <format dxfId="11">
      <pivotArea dataOnly="0" labelOnly="1" fieldPosition="0">
        <references count="3">
          <reference field="1" count="1" selected="0">
            <x v="58"/>
          </reference>
          <reference field="2" count="1" selected="0">
            <x v="2"/>
          </reference>
          <reference field="3" count="1">
            <x v="5"/>
          </reference>
        </references>
      </pivotArea>
    </format>
    <format dxfId="10">
      <pivotArea dataOnly="0" labelOnly="1" fieldPosition="0">
        <references count="3">
          <reference field="1" count="1" selected="0">
            <x v="59"/>
          </reference>
          <reference field="2" count="1" selected="0">
            <x v="9"/>
          </reference>
          <reference field="3" count="1">
            <x v="36"/>
          </reference>
        </references>
      </pivotArea>
    </format>
    <format dxfId="9">
      <pivotArea dataOnly="0" labelOnly="1" fieldPosition="0">
        <references count="3">
          <reference field="1" count="1" selected="0">
            <x v="60"/>
          </reference>
          <reference field="2" count="1" selected="0">
            <x v="9"/>
          </reference>
          <reference field="3" count="1">
            <x v="1"/>
          </reference>
        </references>
      </pivotArea>
    </format>
    <format dxfId="8">
      <pivotArea dataOnly="0" labelOnly="1" fieldPosition="0">
        <references count="3">
          <reference field="1" count="1" selected="0">
            <x v="61"/>
          </reference>
          <reference field="2" count="1" selected="0">
            <x v="19"/>
          </reference>
          <reference field="3" count="1">
            <x v="3"/>
          </reference>
        </references>
      </pivotArea>
    </format>
  </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EDA5B7-EB21-458F-B55D-041444E79B92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otal Geral">
  <location ref="F3:H5" firstHeaderRow="1" firstDataRow="1" firstDataCol="3" rowPageCount="1" colPageCount="1"/>
  <pivotFields count="11">
    <pivotField showAll="0"/>
    <pivotField axis="axisRow" outline="0" showAll="0" defaultSubtotal="0">
      <items count="91">
        <item h="1" m="1" x="86"/>
        <item h="1" m="1" x="88"/>
        <item x="28"/>
        <item h="1" x="1"/>
        <item h="1" x="23"/>
        <item h="1" x="15"/>
        <item h="1" m="1" x="64"/>
        <item h="1" m="1" x="61"/>
        <item h="1" m="1" x="62"/>
        <item h="1" x="4"/>
        <item h="1" x="44"/>
        <item h="1" m="1" x="69"/>
        <item h="1" x="18"/>
        <item h="1" m="1" x="74"/>
        <item h="1" x="52"/>
        <item h="1" x="41"/>
        <item h="1" x="42"/>
        <item h="1" m="1" x="66"/>
        <item h="1" m="1" x="63"/>
        <item h="1" x="2"/>
        <item h="1" m="1" x="89"/>
        <item h="1" x="29"/>
        <item h="1" m="1" x="87"/>
        <item h="1" x="45"/>
        <item h="1" m="1" x="71"/>
        <item h="1" m="1" x="83"/>
        <item h="1" m="1" x="56"/>
        <item h="1" m="1" x="59"/>
        <item h="1" m="1" x="84"/>
        <item h="1" x="0"/>
        <item h="1" x="51"/>
        <item h="1" m="1" x="60"/>
        <item h="1" m="1" x="73"/>
        <item h="1" m="1" x="72"/>
        <item h="1" x="3"/>
        <item h="1" m="1" x="85"/>
        <item h="1" x="24"/>
        <item h="1" x="40"/>
        <item h="1" x="33"/>
        <item h="1" m="1" x="82"/>
        <item h="1" m="1" x="65"/>
        <item h="1" x="43"/>
        <item h="1" x="8"/>
        <item h="1" m="1" x="90"/>
        <item h="1" x="32"/>
        <item h="1" x="7"/>
        <item h="1" m="1" x="58"/>
        <item h="1" x="39"/>
        <item h="1" x="31"/>
        <item h="1" m="1" x="57"/>
        <item h="1" x="17"/>
        <item h="1" x="9"/>
        <item h="1" x="10"/>
        <item h="1" x="11"/>
        <item h="1" x="14"/>
        <item h="1" x="12"/>
        <item h="1" m="1" x="81"/>
        <item h="1" x="22"/>
        <item h="1" m="1" x="77"/>
        <item h="1" m="1" x="78"/>
        <item h="1" m="1" x="79"/>
        <item h="1" m="1" x="80"/>
        <item h="1" m="1" x="70"/>
        <item h="1" x="46"/>
        <item h="1" x="47"/>
        <item h="1" x="49"/>
        <item h="1" m="1" x="76"/>
        <item h="1" m="1" x="67"/>
        <item h="1" m="1" x="75"/>
        <item h="1" x="25"/>
        <item h="1" m="1" x="68"/>
        <item h="1" x="5"/>
        <item h="1" x="34"/>
        <item h="1" x="37"/>
        <item h="1" x="38"/>
        <item h="1" x="13"/>
        <item h="1" x="27"/>
        <item h="1" x="6"/>
        <item h="1" m="1" x="54"/>
        <item h="1" m="1" x="55"/>
        <item h="1" x="16"/>
        <item h="1" x="19"/>
        <item h="1" x="20"/>
        <item h="1" x="21"/>
        <item h="1" x="30"/>
        <item h="1" x="48"/>
        <item h="1" x="35"/>
        <item h="1" x="36"/>
        <item h="1" x="50"/>
        <item h="1" x="26"/>
        <item h="1" x="53"/>
      </items>
    </pivotField>
    <pivotField axis="axisRow" outline="0" showAll="0" defaultSubtotal="0">
      <items count="95">
        <item m="1" x="81"/>
        <item m="1" x="94"/>
        <item x="7"/>
        <item m="1" x="85"/>
        <item m="1" x="35"/>
        <item m="1" x="87"/>
        <item m="1" x="86"/>
        <item m="1" x="84"/>
        <item m="1" x="93"/>
        <item x="18"/>
        <item m="1" x="90"/>
        <item m="1" x="83"/>
        <item m="1" x="91"/>
        <item m="1" x="92"/>
        <item m="1" x="77"/>
        <item m="1" x="88"/>
        <item m="1" x="89"/>
        <item m="1" x="82"/>
        <item x="19"/>
        <item x="2"/>
        <item m="1" x="37"/>
        <item m="1" x="53"/>
        <item x="17"/>
        <item x="31"/>
        <item x="30"/>
        <item x="12"/>
        <item x="14"/>
        <item x="33"/>
        <item m="1" x="80"/>
        <item x="13"/>
        <item x="10"/>
        <item x="15"/>
        <item m="1" x="74"/>
        <item x="11"/>
        <item m="1" x="73"/>
        <item m="1" x="75"/>
        <item m="1" x="76"/>
        <item m="1" x="78"/>
        <item m="1" x="39"/>
        <item x="34"/>
        <item m="1" x="79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x="26"/>
        <item m="1" x="66"/>
        <item m="1" x="67"/>
        <item m="1" x="68"/>
        <item m="1" x="69"/>
        <item x="8"/>
        <item x="9"/>
        <item m="1" x="40"/>
        <item x="32"/>
        <item m="1" x="72"/>
        <item m="1" x="71"/>
        <item m="1" x="70"/>
        <item x="1"/>
        <item m="1" x="38"/>
        <item x="3"/>
        <item x="4"/>
        <item x="5"/>
        <item x="6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41"/>
        <item x="20"/>
        <item x="0"/>
        <item x="16"/>
        <item n="100%" x="21"/>
        <item x="22"/>
        <item x="23"/>
        <item x="24"/>
        <item x="25"/>
        <item x="27"/>
        <item x="28"/>
        <item x="29"/>
        <item m="1" x="36"/>
      </items>
    </pivotField>
    <pivotField axis="axisRow" showAll="0">
      <items count="136">
        <item x="11"/>
        <item m="1" x="133"/>
        <item x="17"/>
        <item m="1" x="134"/>
        <item x="18"/>
        <item m="1" x="132"/>
        <item m="1" x="126"/>
        <item m="1" x="128"/>
        <item m="1" x="122"/>
        <item m="1" x="120"/>
        <item m="1" x="119"/>
        <item m="1" x="127"/>
        <item m="1" x="131"/>
        <item x="3"/>
        <item m="1" x="90"/>
        <item x="28"/>
        <item m="1" x="83"/>
        <item m="1" x="91"/>
        <item x="19"/>
        <item m="1" x="58"/>
        <item x="27"/>
        <item m="1" x="57"/>
        <item x="35"/>
        <item m="1" x="125"/>
        <item x="8"/>
        <item m="1" x="110"/>
        <item m="1" x="129"/>
        <item m="1" x="115"/>
        <item m="1" x="82"/>
        <item m="1" x="121"/>
        <item m="1" x="86"/>
        <item x="46"/>
        <item m="1" x="124"/>
        <item m="1" x="106"/>
        <item m="1" x="123"/>
        <item m="1" x="116"/>
        <item x="43"/>
        <item m="1" x="117"/>
        <item m="1" x="104"/>
        <item m="1" x="130"/>
        <item m="1" x="118"/>
        <item m="1" x="111"/>
        <item m="1" x="94"/>
        <item m="1" x="112"/>
        <item x="33"/>
        <item m="1" x="102"/>
        <item m="1" x="103"/>
        <item m="1" x="105"/>
        <item m="1" x="70"/>
        <item x="47"/>
        <item m="1" x="72"/>
        <item m="1" x="66"/>
        <item m="1" x="107"/>
        <item m="1" x="69"/>
        <item m="1" x="73"/>
        <item m="1" x="74"/>
        <item m="1" x="76"/>
        <item x="4"/>
        <item m="1" x="92"/>
        <item x="26"/>
        <item m="1" x="93"/>
        <item m="1" x="108"/>
        <item m="1" x="89"/>
        <item x="29"/>
        <item m="1" x="109"/>
        <item m="1" x="113"/>
        <item m="1" x="114"/>
        <item m="1" x="75"/>
        <item m="1" x="78"/>
        <item m="1" x="79"/>
        <item m="1" x="80"/>
        <item m="1" x="81"/>
        <item m="1" x="85"/>
        <item m="1" x="87"/>
        <item m="1" x="101"/>
        <item m="1" x="88"/>
        <item m="1" x="95"/>
        <item m="1" x="96"/>
        <item m="1" x="97"/>
        <item m="1" x="98"/>
        <item m="1" x="62"/>
        <item m="1" x="63"/>
        <item m="1" x="99"/>
        <item m="1" x="67"/>
        <item m="1" x="100"/>
        <item x="30"/>
        <item x="32"/>
        <item m="1" x="77"/>
        <item x="34"/>
        <item m="1" x="84"/>
        <item x="31"/>
        <item x="36"/>
        <item x="37"/>
        <item m="1" x="61"/>
        <item m="1" x="64"/>
        <item m="1" x="68"/>
        <item m="1" x="71"/>
        <item x="0"/>
        <item x="1"/>
        <item x="2"/>
        <item x="5"/>
        <item x="6"/>
        <item x="7"/>
        <item x="9"/>
        <item x="10"/>
        <item x="12"/>
        <item x="13"/>
        <item x="14"/>
        <item m="1" x="51"/>
        <item x="16"/>
        <item m="1" x="52"/>
        <item m="1" x="53"/>
        <item m="1" x="54"/>
        <item m="1" x="55"/>
        <item m="1" x="56"/>
        <item m="1" x="59"/>
        <item m="1" x="60"/>
        <item m="1" x="65"/>
        <item x="15"/>
        <item x="20"/>
        <item x="21"/>
        <item x="22"/>
        <item x="23"/>
        <item x="24"/>
        <item x="25"/>
        <item x="38"/>
        <item x="39"/>
        <item x="40"/>
        <item x="41"/>
        <item x="42"/>
        <item x="44"/>
        <item x="45"/>
        <item x="48"/>
        <item x="49"/>
        <item x="50"/>
        <item t="default"/>
      </items>
    </pivotField>
    <pivotField axis="axisPage" multipleItemSelectionAllowed="1" showAll="0">
      <items count="7">
        <item x="4"/>
        <item h="1" x="0"/>
        <item h="1" x="3"/>
        <item h="1" x="5"/>
        <item h="1" x="2"/>
        <item h="1" x="1"/>
        <item t="default"/>
      </items>
    </pivotField>
    <pivotField numFmtId="14" showAll="0"/>
    <pivotField showAll="0"/>
    <pivotField showAll="0"/>
    <pivotField showAll="0"/>
    <pivotField showAll="0"/>
    <pivotField showAll="0"/>
  </pivotFields>
  <rowFields count="3">
    <field x="1"/>
    <field x="2"/>
    <field x="3"/>
  </rowFields>
  <rowItems count="2">
    <i>
      <x v="2"/>
      <x v="86"/>
      <x v="59"/>
    </i>
    <i t="grand">
      <x/>
    </i>
  </rowItems>
  <colItems count="1">
    <i/>
  </colItems>
  <pageFields count="1">
    <pageField fld="4" hier="-1"/>
  </pageFields>
  <formats count="32">
    <format dxfId="67">
      <pivotArea dataOnly="0" labelOnly="1" outline="0" fieldPosition="0">
        <references count="1">
          <reference field="2" count="0"/>
        </references>
      </pivotArea>
    </format>
    <format dxfId="66">
      <pivotArea dataOnly="0" labelOnly="1" fieldPosition="0">
        <references count="2">
          <reference field="1" count="1" selected="0">
            <x v="14"/>
          </reference>
          <reference field="2" count="1">
            <x v="26"/>
          </reference>
        </references>
      </pivotArea>
    </format>
    <format dxfId="65">
      <pivotArea dataOnly="0" labelOnly="1" fieldPosition="0">
        <references count="2">
          <reference field="1" count="1" selected="0">
            <x v="15"/>
          </reference>
          <reference field="2" count="1">
            <x v="24"/>
          </reference>
        </references>
      </pivotArea>
    </format>
    <format dxfId="64">
      <pivotArea dataOnly="0" labelOnly="1" fieldPosition="0">
        <references count="2">
          <reference field="1" count="1" selected="0">
            <x v="16"/>
          </reference>
          <reference field="2" count="1">
            <x v="24"/>
          </reference>
        </references>
      </pivotArea>
    </format>
    <format dxfId="63">
      <pivotArea dataOnly="0" labelOnly="1" fieldPosition="0">
        <references count="2">
          <reference field="1" count="1" selected="0">
            <x v="17"/>
          </reference>
          <reference field="2" count="1">
            <x v="23"/>
          </reference>
        </references>
      </pivotArea>
    </format>
    <format dxfId="62">
      <pivotArea dataOnly="0" labelOnly="1" fieldPosition="0">
        <references count="2">
          <reference field="1" count="1" selected="0">
            <x v="23"/>
          </reference>
          <reference field="2" count="1">
            <x v="24"/>
          </reference>
        </references>
      </pivotArea>
    </format>
    <format dxfId="61">
      <pivotArea dataOnly="0" labelOnly="1" fieldPosition="0">
        <references count="2">
          <reference field="1" count="1" selected="0">
            <x v="30"/>
          </reference>
          <reference field="2" count="1">
            <x v="27"/>
          </reference>
        </references>
      </pivotArea>
    </format>
    <format dxfId="60">
      <pivotArea dataOnly="0" labelOnly="1" fieldPosition="0">
        <references count="2">
          <reference field="1" count="1" selected="0">
            <x v="31"/>
          </reference>
          <reference field="2" count="1">
            <x v="24"/>
          </reference>
        </references>
      </pivotArea>
    </format>
    <format dxfId="59">
      <pivotArea dataOnly="0" labelOnly="1" fieldPosition="0">
        <references count="2">
          <reference field="1" count="1" selected="0">
            <x v="41"/>
          </reference>
          <reference field="2" count="1">
            <x v="27"/>
          </reference>
        </references>
      </pivotArea>
    </format>
    <format dxfId="58">
      <pivotArea dataOnly="0" labelOnly="1" fieldPosition="0">
        <references count="2">
          <reference field="1" count="1" selected="0">
            <x v="10"/>
          </reference>
          <reference field="2" count="1">
            <x v="25"/>
          </reference>
        </references>
      </pivotArea>
    </format>
    <format dxfId="57">
      <pivotArea dataOnly="0" labelOnly="1" fieldPosition="0">
        <references count="2">
          <reference field="1" count="1" selected="0">
            <x v="14"/>
          </reference>
          <reference field="2" count="1">
            <x v="2"/>
          </reference>
        </references>
      </pivotArea>
    </format>
    <format dxfId="56">
      <pivotArea dataOnly="0" labelOnly="1" fieldPosition="0">
        <references count="2">
          <reference field="1" count="1" selected="0">
            <x v="15"/>
          </reference>
          <reference field="2" count="1">
            <x v="25"/>
          </reference>
        </references>
      </pivotArea>
    </format>
    <format dxfId="55">
      <pivotArea dataOnly="0" labelOnly="1" fieldPosition="0">
        <references count="2">
          <reference field="1" count="1" selected="0">
            <x v="16"/>
          </reference>
          <reference field="2" count="1">
            <x v="4"/>
          </reference>
        </references>
      </pivotArea>
    </format>
    <format dxfId="54">
      <pivotArea dataOnly="0" labelOnly="1" fieldPosition="0">
        <references count="2">
          <reference field="1" count="1" selected="0">
            <x v="17"/>
          </reference>
          <reference field="2" count="1">
            <x v="4"/>
          </reference>
        </references>
      </pivotArea>
    </format>
    <format dxfId="53">
      <pivotArea dataOnly="0" labelOnly="1" fieldPosition="0">
        <references count="2">
          <reference field="1" count="1" selected="0">
            <x v="23"/>
          </reference>
          <reference field="2" count="1">
            <x v="4"/>
          </reference>
        </references>
      </pivotArea>
    </format>
    <format dxfId="52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51">
      <pivotArea dataOnly="0" labelOnly="1" fieldPosition="0">
        <references count="2">
          <reference field="1" count="1" selected="0">
            <x v="30"/>
          </reference>
          <reference field="2" count="1">
            <x v="31"/>
          </reference>
        </references>
      </pivotArea>
    </format>
    <format dxfId="50">
      <pivotArea dataOnly="0" labelOnly="1" fieldPosition="0">
        <references count="2">
          <reference field="1" count="1" selected="0">
            <x v="31"/>
          </reference>
          <reference field="2" count="1">
            <x v="4"/>
          </reference>
        </references>
      </pivotArea>
    </format>
    <format dxfId="49">
      <pivotArea dataOnly="0" labelOnly="1" fieldPosition="0">
        <references count="2">
          <reference field="1" count="1" selected="0">
            <x v="33"/>
          </reference>
          <reference field="2" count="1">
            <x v="23"/>
          </reference>
        </references>
      </pivotArea>
    </format>
    <format dxfId="48">
      <pivotArea dataOnly="0" labelOnly="1" fieldPosition="0">
        <references count="2">
          <reference field="1" count="1" selected="0">
            <x v="37"/>
          </reference>
          <reference field="2" count="1">
            <x v="25"/>
          </reference>
        </references>
      </pivotArea>
    </format>
    <format dxfId="47">
      <pivotArea dataOnly="0" labelOnly="1" fieldPosition="0">
        <references count="2">
          <reference field="1" count="1" selected="0">
            <x v="41"/>
          </reference>
          <reference field="2" count="1">
            <x v="2"/>
          </reference>
        </references>
      </pivotArea>
    </format>
    <format dxfId="46">
      <pivotArea dataOnly="0" labelOnly="1" fieldPosition="0">
        <references count="2">
          <reference field="1" count="1" selected="0">
            <x v="47"/>
          </reference>
          <reference field="2" count="1">
            <x v="25"/>
          </reference>
        </references>
      </pivotArea>
    </format>
    <format dxfId="45">
      <pivotArea dataOnly="0" labelOnly="1" fieldPosition="0">
        <references count="3">
          <reference field="1" count="1" selected="0">
            <x v="2"/>
          </reference>
          <reference field="2" count="1" selected="0">
            <x v="35"/>
          </reference>
          <reference field="3" count="1">
            <x v="21"/>
          </reference>
        </references>
      </pivotArea>
    </format>
    <format dxfId="44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2"/>
          </reference>
        </references>
      </pivotArea>
    </format>
    <format dxfId="43">
      <pivotArea dataOnly="0" labelOnly="1" fieldPosition="0">
        <references count="3">
          <reference field="1" count="1" selected="0">
            <x v="21"/>
          </reference>
          <reference field="2" count="1" selected="0">
            <x v="29"/>
          </reference>
          <reference field="3" count="1">
            <x v="20"/>
          </reference>
        </references>
      </pivotArea>
    </format>
    <format dxfId="42">
      <pivotArea dataOnly="0" labelOnly="1" fieldPosition="0">
        <references count="3">
          <reference field="1" count="1" selected="0">
            <x v="27"/>
          </reference>
          <reference field="2" count="1" selected="0">
            <x v="30"/>
          </reference>
          <reference field="3" count="1">
            <x v="14"/>
          </reference>
        </references>
      </pivotArea>
    </format>
    <format dxfId="41">
      <pivotArea dataOnly="0" labelOnly="1" fieldPosition="0">
        <references count="3">
          <reference field="1" count="1" selected="0">
            <x v="38"/>
          </reference>
          <reference field="2" count="1" selected="0">
            <x v="39"/>
          </reference>
          <reference field="3" count="1">
            <x v="39"/>
          </reference>
        </references>
      </pivotArea>
    </format>
    <format dxfId="40">
      <pivotArea dataOnly="0" labelOnly="1" fieldPosition="0">
        <references count="3">
          <reference field="1" count="1" selected="0">
            <x v="40"/>
          </reference>
          <reference field="2" count="1" selected="0">
            <x v="36"/>
          </reference>
          <reference field="3" count="1">
            <x v="15"/>
          </reference>
        </references>
      </pivotArea>
    </format>
    <format dxfId="39">
      <pivotArea dataOnly="0" labelOnly="1" fieldPosition="0">
        <references count="3">
          <reference field="1" count="1" selected="0">
            <x v="44"/>
          </reference>
          <reference field="2" count="1" selected="0">
            <x v="37"/>
          </reference>
          <reference field="3" count="1">
            <x v="26"/>
          </reference>
        </references>
      </pivotArea>
    </format>
    <format dxfId="38">
      <pivotArea dataOnly="0" labelOnly="1" fieldPosition="0">
        <references count="3">
          <reference field="1" count="1" selected="0">
            <x v="46"/>
          </reference>
          <reference field="2" count="1" selected="0">
            <x v="38"/>
          </reference>
          <reference field="3" count="1">
            <x v="17"/>
          </reference>
        </references>
      </pivotArea>
    </format>
    <format dxfId="37">
      <pivotArea dataOnly="0" labelOnly="1" fieldPosition="0">
        <references count="3">
          <reference field="1" count="1" selected="0">
            <x v="48"/>
          </reference>
          <reference field="2" count="1" selected="0">
            <x v="25"/>
          </reference>
          <reference field="3" count="1">
            <x v="25"/>
          </reference>
        </references>
      </pivotArea>
    </format>
    <format dxfId="36">
      <pivotArea dataOnly="0" labelOnly="1" fieldPosition="0">
        <references count="3">
          <reference field="1" count="1" selected="0">
            <x v="49"/>
          </reference>
          <reference field="2" count="1" selected="0">
            <x v="26"/>
          </reference>
          <reference field="3" count="1">
            <x v="1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C4D17A-514D-4661-9EB0-5EA91F701CC5}" name="Tabela dinâ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D6:AE26" firstHeaderRow="1" firstDataRow="1" firstDataCol="1" rowPageCount="1" colPageCount="1"/>
  <pivotFields count="5">
    <pivotField axis="axisRow" showAll="0" sortType="descending">
      <items count="22">
        <item x="7"/>
        <item x="4"/>
        <item x="13"/>
        <item x="12"/>
        <item x="6"/>
        <item x="20"/>
        <item x="16"/>
        <item x="18"/>
        <item x="15"/>
        <item x="8"/>
        <item x="11"/>
        <item x="3"/>
        <item x="1"/>
        <item x="19"/>
        <item x="5"/>
        <item x="2"/>
        <item x="0"/>
        <item x="14"/>
        <item x="9"/>
        <item x="10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3">
        <item h="1" x="0"/>
        <item x="1"/>
        <item t="default"/>
      </items>
    </pivotField>
    <pivotField dataField="1" numFmtId="44" showAll="0"/>
    <pivotField numFmtId="14" showAll="0"/>
    <pivotField showAll="0"/>
  </pivotFields>
  <rowFields count="1">
    <field x="0"/>
  </rowFields>
  <rowItems count="20">
    <i>
      <x v="1"/>
    </i>
    <i>
      <x v="10"/>
    </i>
    <i>
      <x v="17"/>
    </i>
    <i>
      <x v="15"/>
    </i>
    <i>
      <x v="7"/>
    </i>
    <i>
      <x v="6"/>
    </i>
    <i>
      <x v="19"/>
    </i>
    <i>
      <x v="3"/>
    </i>
    <i>
      <x v="8"/>
    </i>
    <i>
      <x v="11"/>
    </i>
    <i>
      <x v="4"/>
    </i>
    <i>
      <x v="5"/>
    </i>
    <i>
      <x v="13"/>
    </i>
    <i>
      <x v="2"/>
    </i>
    <i>
      <x v="18"/>
    </i>
    <i>
      <x/>
    </i>
    <i>
      <x v="9"/>
    </i>
    <i>
      <x v="12"/>
    </i>
    <i>
      <x v="20"/>
    </i>
    <i t="grand">
      <x/>
    </i>
  </rowItems>
  <colItems count="1">
    <i/>
  </colItems>
  <pageFields count="1">
    <pageField fld="1" hier="-1"/>
  </pageFields>
  <dataFields count="1">
    <dataField name="Soma de valor" fld="2" baseField="0" baseItem="4" numFmtId="166"/>
  </dataFields>
  <formats count="10">
    <format dxfId="77">
      <pivotArea collapsedLevelsAreSubtotals="1" fieldPosition="0">
        <references count="1">
          <reference field="0" count="1">
            <x v="15"/>
          </reference>
        </references>
      </pivotArea>
    </format>
    <format dxfId="76">
      <pivotArea dataOnly="0" labelOnly="1" fieldPosition="0">
        <references count="1">
          <reference field="0" count="1">
            <x v="15"/>
          </reference>
        </references>
      </pivotArea>
    </format>
    <format dxfId="75">
      <pivotArea collapsedLevelsAreSubtotals="1" fieldPosition="0">
        <references count="1">
          <reference field="0" count="1">
            <x v="10"/>
          </reference>
        </references>
      </pivotArea>
    </format>
    <format dxfId="74">
      <pivotArea dataOnly="0" labelOnly="1" fieldPosition="0">
        <references count="1">
          <reference field="0" count="1">
            <x v="10"/>
          </reference>
        </references>
      </pivotArea>
    </format>
    <format dxfId="73">
      <pivotArea collapsedLevelsAreSubtotals="1" fieldPosition="0">
        <references count="1">
          <reference field="0" count="2">
            <x v="6"/>
            <x v="7"/>
          </reference>
        </references>
      </pivotArea>
    </format>
    <format dxfId="72">
      <pivotArea dataOnly="0" labelOnly="1" fieldPosition="0">
        <references count="1">
          <reference field="0" count="2">
            <x v="6"/>
            <x v="7"/>
          </reference>
        </references>
      </pivotArea>
    </format>
    <format dxfId="71">
      <pivotArea collapsedLevelsAreSubtotals="1" fieldPosition="0">
        <references count="1">
          <reference field="0" count="1">
            <x v="19"/>
          </reference>
        </references>
      </pivotArea>
    </format>
    <format dxfId="70">
      <pivotArea dataOnly="0" labelOnly="1" fieldPosition="0">
        <references count="1">
          <reference field="0" count="1">
            <x v="19"/>
          </reference>
        </references>
      </pivotArea>
    </format>
    <format dxfId="69">
      <pivotArea collapsedLevelsAreSubtotals="1" fieldPosition="0">
        <references count="1">
          <reference field="0" count="1">
            <x v="4"/>
          </reference>
        </references>
      </pivotArea>
    </format>
    <format dxfId="68">
      <pivotArea dataOnly="0" labelOnly="1" fieldPosition="0">
        <references count="1">
          <reference field="0" count="1">
            <x v="4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12CA8-14FA-4F4F-9FCA-60295D9212F5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otal Geral">
  <location ref="F25:H38" firstHeaderRow="1" firstDataRow="1" firstDataCol="3" rowPageCount="1" colPageCount="1"/>
  <pivotFields count="11">
    <pivotField showAll="0"/>
    <pivotField axis="axisRow" outline="0" showAll="0" defaultSubtotal="0">
      <items count="91">
        <item m="1" x="86"/>
        <item m="1" x="88"/>
        <item x="28"/>
        <item x="1"/>
        <item x="23"/>
        <item x="15"/>
        <item m="1" x="64"/>
        <item m="1" x="61"/>
        <item m="1" x="62"/>
        <item x="4"/>
        <item x="44"/>
        <item m="1" x="69"/>
        <item x="18"/>
        <item m="1" x="74"/>
        <item x="52"/>
        <item x="41"/>
        <item x="42"/>
        <item m="1" x="66"/>
        <item m="1" x="63"/>
        <item x="2"/>
        <item m="1" x="89"/>
        <item x="29"/>
        <item m="1" x="87"/>
        <item x="45"/>
        <item m="1" x="71"/>
        <item m="1" x="83"/>
        <item m="1" x="56"/>
        <item m="1" x="59"/>
        <item m="1" x="84"/>
        <item x="0"/>
        <item x="51"/>
        <item m="1" x="60"/>
        <item m="1" x="73"/>
        <item m="1" x="72"/>
        <item x="3"/>
        <item m="1" x="85"/>
        <item x="24"/>
        <item x="40"/>
        <item x="33"/>
        <item m="1" x="82"/>
        <item m="1" x="65"/>
        <item x="43"/>
        <item x="8"/>
        <item m="1" x="90"/>
        <item x="32"/>
        <item x="7"/>
        <item m="1" x="58"/>
        <item x="39"/>
        <item x="31"/>
        <item m="1" x="57"/>
        <item x="17"/>
        <item x="9"/>
        <item x="10"/>
        <item x="11"/>
        <item x="14"/>
        <item x="12"/>
        <item m="1" x="81"/>
        <item x="22"/>
        <item m="1" x="77"/>
        <item m="1" x="78"/>
        <item m="1" x="79"/>
        <item m="1" x="80"/>
        <item m="1" x="70"/>
        <item x="46"/>
        <item x="47"/>
        <item x="49"/>
        <item m="1" x="76"/>
        <item m="1" x="67"/>
        <item m="1" x="75"/>
        <item x="25"/>
        <item m="1" x="68"/>
        <item x="5"/>
        <item x="34"/>
        <item x="37"/>
        <item x="38"/>
        <item x="13"/>
        <item x="27"/>
        <item x="6"/>
        <item m="1" x="54"/>
        <item m="1" x="55"/>
        <item x="16"/>
        <item x="19"/>
        <item x="20"/>
        <item x="21"/>
        <item x="30"/>
        <item x="48"/>
        <item x="35"/>
        <item x="36"/>
        <item x="50"/>
        <item x="26"/>
        <item x="53"/>
      </items>
    </pivotField>
    <pivotField axis="axisRow" outline="0" showAll="0" defaultSubtotal="0">
      <items count="95">
        <item m="1" x="81"/>
        <item m="1" x="94"/>
        <item x="7"/>
        <item m="1" x="85"/>
        <item m="1" x="35"/>
        <item m="1" x="87"/>
        <item m="1" x="86"/>
        <item m="1" x="84"/>
        <item m="1" x="93"/>
        <item x="18"/>
        <item m="1" x="90"/>
        <item m="1" x="83"/>
        <item m="1" x="91"/>
        <item m="1" x="92"/>
        <item m="1" x="77"/>
        <item m="1" x="88"/>
        <item m="1" x="89"/>
        <item m="1" x="82"/>
        <item x="19"/>
        <item x="2"/>
        <item m="1" x="37"/>
        <item m="1" x="53"/>
        <item x="17"/>
        <item x="31"/>
        <item x="30"/>
        <item x="12"/>
        <item x="14"/>
        <item x="33"/>
        <item m="1" x="80"/>
        <item x="13"/>
        <item x="10"/>
        <item x="15"/>
        <item m="1" x="74"/>
        <item x="11"/>
        <item m="1" x="73"/>
        <item m="1" x="75"/>
        <item m="1" x="76"/>
        <item m="1" x="78"/>
        <item m="1" x="39"/>
        <item x="34"/>
        <item m="1" x="79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x="26"/>
        <item m="1" x="66"/>
        <item m="1" x="67"/>
        <item m="1" x="68"/>
        <item m="1" x="69"/>
        <item x="8"/>
        <item x="9"/>
        <item m="1" x="40"/>
        <item x="32"/>
        <item m="1" x="72"/>
        <item m="1" x="71"/>
        <item m="1" x="70"/>
        <item x="1"/>
        <item m="1" x="38"/>
        <item x="3"/>
        <item x="4"/>
        <item x="5"/>
        <item x="6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41"/>
        <item x="20"/>
        <item x="0"/>
        <item x="16"/>
        <item x="21"/>
        <item x="22"/>
        <item x="23"/>
        <item x="24"/>
        <item x="25"/>
        <item x="27"/>
        <item x="28"/>
        <item x="29"/>
        <item m="1" x="36"/>
      </items>
    </pivotField>
    <pivotField axis="axisRow" showAll="0">
      <items count="136">
        <item x="11"/>
        <item m="1" x="133"/>
        <item x="17"/>
        <item m="1" x="134"/>
        <item x="18"/>
        <item m="1" x="132"/>
        <item m="1" x="126"/>
        <item m="1" x="128"/>
        <item m="1" x="122"/>
        <item m="1" x="120"/>
        <item m="1" x="119"/>
        <item m="1" x="127"/>
        <item m="1" x="131"/>
        <item x="3"/>
        <item m="1" x="90"/>
        <item x="28"/>
        <item m="1" x="83"/>
        <item m="1" x="91"/>
        <item x="19"/>
        <item m="1" x="58"/>
        <item x="27"/>
        <item m="1" x="57"/>
        <item x="35"/>
        <item m="1" x="125"/>
        <item x="8"/>
        <item m="1" x="110"/>
        <item m="1" x="129"/>
        <item m="1" x="115"/>
        <item m="1" x="82"/>
        <item m="1" x="121"/>
        <item m="1" x="86"/>
        <item x="46"/>
        <item m="1" x="124"/>
        <item m="1" x="106"/>
        <item m="1" x="123"/>
        <item m="1" x="116"/>
        <item x="43"/>
        <item m="1" x="117"/>
        <item m="1" x="104"/>
        <item m="1" x="130"/>
        <item m="1" x="118"/>
        <item m="1" x="111"/>
        <item m="1" x="94"/>
        <item m="1" x="112"/>
        <item x="33"/>
        <item m="1" x="102"/>
        <item m="1" x="103"/>
        <item m="1" x="105"/>
        <item m="1" x="70"/>
        <item x="47"/>
        <item m="1" x="72"/>
        <item m="1" x="66"/>
        <item m="1" x="107"/>
        <item m="1" x="69"/>
        <item m="1" x="73"/>
        <item m="1" x="74"/>
        <item m="1" x="76"/>
        <item x="4"/>
        <item m="1" x="92"/>
        <item x="26"/>
        <item m="1" x="93"/>
        <item m="1" x="108"/>
        <item m="1" x="89"/>
        <item x="29"/>
        <item m="1" x="109"/>
        <item m="1" x="113"/>
        <item m="1" x="114"/>
        <item m="1" x="75"/>
        <item m="1" x="78"/>
        <item m="1" x="79"/>
        <item m="1" x="80"/>
        <item m="1" x="81"/>
        <item m="1" x="85"/>
        <item m="1" x="87"/>
        <item m="1" x="101"/>
        <item m="1" x="88"/>
        <item m="1" x="95"/>
        <item m="1" x="96"/>
        <item m="1" x="97"/>
        <item m="1" x="98"/>
        <item m="1" x="62"/>
        <item m="1" x="63"/>
        <item m="1" x="99"/>
        <item m="1" x="67"/>
        <item m="1" x="100"/>
        <item x="30"/>
        <item x="32"/>
        <item m="1" x="77"/>
        <item x="34"/>
        <item m="1" x="84"/>
        <item x="31"/>
        <item x="36"/>
        <item x="37"/>
        <item m="1" x="61"/>
        <item m="1" x="64"/>
        <item m="1" x="68"/>
        <item m="1" x="71"/>
        <item x="0"/>
        <item x="1"/>
        <item x="2"/>
        <item x="5"/>
        <item x="6"/>
        <item x="7"/>
        <item x="9"/>
        <item x="10"/>
        <item x="12"/>
        <item x="13"/>
        <item x="14"/>
        <item m="1" x="51"/>
        <item x="16"/>
        <item m="1" x="52"/>
        <item m="1" x="53"/>
        <item m="1" x="54"/>
        <item m="1" x="55"/>
        <item m="1" x="56"/>
        <item m="1" x="59"/>
        <item m="1" x="60"/>
        <item m="1" x="65"/>
        <item x="15"/>
        <item x="20"/>
        <item x="21"/>
        <item x="22"/>
        <item x="23"/>
        <item x="24"/>
        <item x="25"/>
        <item x="38"/>
        <item x="39"/>
        <item x="40"/>
        <item x="41"/>
        <item x="42"/>
        <item x="44"/>
        <item x="45"/>
        <item x="48"/>
        <item x="49"/>
        <item x="50"/>
        <item t="default"/>
      </items>
    </pivotField>
    <pivotField axis="axisPage" multipleItemSelectionAllowed="1" showAll="0">
      <items count="7">
        <item h="1" x="4"/>
        <item h="1" x="0"/>
        <item h="1" x="3"/>
        <item h="1" x="5"/>
        <item h="1" x="2"/>
        <item x="1"/>
        <item t="default"/>
      </items>
    </pivotField>
    <pivotField numFmtId="14" showAll="0"/>
    <pivotField showAll="0"/>
    <pivotField showAll="0"/>
    <pivotField showAll="0"/>
    <pivotField showAll="0"/>
    <pivotField showAll="0"/>
  </pivotFields>
  <rowFields count="3">
    <field x="1"/>
    <field x="2"/>
    <field x="3"/>
  </rowFields>
  <rowItems count="13">
    <i>
      <x v="5"/>
      <x v="2"/>
      <x v="106"/>
    </i>
    <i>
      <x v="12"/>
      <x v="26"/>
      <x v="109"/>
    </i>
    <i>
      <x v="42"/>
      <x v="58"/>
      <x v="101"/>
    </i>
    <i>
      <x v="50"/>
      <x v="31"/>
      <x v="118"/>
    </i>
    <i>
      <x v="51"/>
      <x v="59"/>
      <x v="102"/>
    </i>
    <i>
      <x v="52"/>
      <x v="30"/>
      <x v="24"/>
    </i>
    <i>
      <x v="53"/>
      <x v="33"/>
      <x v="103"/>
    </i>
    <i>
      <x v="54"/>
      <x v="2"/>
      <x v="105"/>
    </i>
    <i>
      <x v="55"/>
      <x v="25"/>
      <x v="104"/>
    </i>
    <i>
      <x v="75"/>
      <x v="29"/>
      <x/>
    </i>
    <i>
      <x v="80"/>
      <x v="26"/>
      <x v="107"/>
    </i>
    <i>
      <x v="90"/>
      <x v="2"/>
      <x v="134"/>
    </i>
    <i t="grand">
      <x/>
    </i>
  </rowItems>
  <colItems count="1">
    <i/>
  </colItems>
  <pageFields count="1">
    <pageField fld="4" hier="-1"/>
  </pageFields>
  <formats count="33">
    <format dxfId="110">
      <pivotArea dataOnly="0" labelOnly="1" outline="0" fieldPosition="0">
        <references count="1">
          <reference field="2" count="0"/>
        </references>
      </pivotArea>
    </format>
    <format dxfId="109">
      <pivotArea dataOnly="0" labelOnly="1" fieldPosition="0">
        <references count="2">
          <reference field="1" count="1" selected="0">
            <x v="14"/>
          </reference>
          <reference field="2" count="1">
            <x v="26"/>
          </reference>
        </references>
      </pivotArea>
    </format>
    <format dxfId="108">
      <pivotArea dataOnly="0" labelOnly="1" fieldPosition="0">
        <references count="2">
          <reference field="1" count="1" selected="0">
            <x v="15"/>
          </reference>
          <reference field="2" count="1">
            <x v="24"/>
          </reference>
        </references>
      </pivotArea>
    </format>
    <format dxfId="107">
      <pivotArea dataOnly="0" labelOnly="1" fieldPosition="0">
        <references count="2">
          <reference field="1" count="1" selected="0">
            <x v="16"/>
          </reference>
          <reference field="2" count="1">
            <x v="24"/>
          </reference>
        </references>
      </pivotArea>
    </format>
    <format dxfId="106">
      <pivotArea dataOnly="0" labelOnly="1" fieldPosition="0">
        <references count="2">
          <reference field="1" count="1" selected="0">
            <x v="17"/>
          </reference>
          <reference field="2" count="1">
            <x v="23"/>
          </reference>
        </references>
      </pivotArea>
    </format>
    <format dxfId="105">
      <pivotArea dataOnly="0" labelOnly="1" fieldPosition="0">
        <references count="2">
          <reference field="1" count="1" selected="0">
            <x v="23"/>
          </reference>
          <reference field="2" count="1">
            <x v="24"/>
          </reference>
        </references>
      </pivotArea>
    </format>
    <format dxfId="104">
      <pivotArea dataOnly="0" labelOnly="1" fieldPosition="0">
        <references count="2">
          <reference field="1" count="1" selected="0">
            <x v="30"/>
          </reference>
          <reference field="2" count="1">
            <x v="27"/>
          </reference>
        </references>
      </pivotArea>
    </format>
    <format dxfId="103">
      <pivotArea dataOnly="0" labelOnly="1" fieldPosition="0">
        <references count="2">
          <reference field="1" count="1" selected="0">
            <x v="31"/>
          </reference>
          <reference field="2" count="1">
            <x v="24"/>
          </reference>
        </references>
      </pivotArea>
    </format>
    <format dxfId="102">
      <pivotArea dataOnly="0" labelOnly="1" fieldPosition="0">
        <references count="2">
          <reference field="1" count="1" selected="0">
            <x v="41"/>
          </reference>
          <reference field="2" count="1">
            <x v="27"/>
          </reference>
        </references>
      </pivotArea>
    </format>
    <format dxfId="101">
      <pivotArea dataOnly="0" labelOnly="1" fieldPosition="0">
        <references count="2">
          <reference field="1" count="1" selected="0">
            <x v="10"/>
          </reference>
          <reference field="2" count="1">
            <x v="25"/>
          </reference>
        </references>
      </pivotArea>
    </format>
    <format dxfId="100">
      <pivotArea dataOnly="0" labelOnly="1" fieldPosition="0">
        <references count="2">
          <reference field="1" count="1" selected="0">
            <x v="14"/>
          </reference>
          <reference field="2" count="1">
            <x v="2"/>
          </reference>
        </references>
      </pivotArea>
    </format>
    <format dxfId="99">
      <pivotArea dataOnly="0" labelOnly="1" fieldPosition="0">
        <references count="2">
          <reference field="1" count="1" selected="0">
            <x v="15"/>
          </reference>
          <reference field="2" count="1">
            <x v="25"/>
          </reference>
        </references>
      </pivotArea>
    </format>
    <format dxfId="98">
      <pivotArea dataOnly="0" labelOnly="1" fieldPosition="0">
        <references count="2">
          <reference field="1" count="1" selected="0">
            <x v="16"/>
          </reference>
          <reference field="2" count="1">
            <x v="4"/>
          </reference>
        </references>
      </pivotArea>
    </format>
    <format dxfId="97">
      <pivotArea dataOnly="0" labelOnly="1" fieldPosition="0">
        <references count="2">
          <reference field="1" count="1" selected="0">
            <x v="17"/>
          </reference>
          <reference field="2" count="1">
            <x v="4"/>
          </reference>
        </references>
      </pivotArea>
    </format>
    <format dxfId="96">
      <pivotArea dataOnly="0" labelOnly="1" fieldPosition="0">
        <references count="2">
          <reference field="1" count="1" selected="0">
            <x v="23"/>
          </reference>
          <reference field="2" count="1">
            <x v="4"/>
          </reference>
        </references>
      </pivotArea>
    </format>
    <format dxfId="9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94">
      <pivotArea dataOnly="0" labelOnly="1" fieldPosition="0">
        <references count="2">
          <reference field="1" count="1" selected="0">
            <x v="30"/>
          </reference>
          <reference field="2" count="1">
            <x v="31"/>
          </reference>
        </references>
      </pivotArea>
    </format>
    <format dxfId="93">
      <pivotArea dataOnly="0" labelOnly="1" fieldPosition="0">
        <references count="2">
          <reference field="1" count="1" selected="0">
            <x v="31"/>
          </reference>
          <reference field="2" count="1">
            <x v="4"/>
          </reference>
        </references>
      </pivotArea>
    </format>
    <format dxfId="92">
      <pivotArea dataOnly="0" labelOnly="1" fieldPosition="0">
        <references count="2">
          <reference field="1" count="1" selected="0">
            <x v="33"/>
          </reference>
          <reference field="2" count="1">
            <x v="23"/>
          </reference>
        </references>
      </pivotArea>
    </format>
    <format dxfId="91">
      <pivotArea dataOnly="0" labelOnly="1" fieldPosition="0">
        <references count="2">
          <reference field="1" count="1" selected="0">
            <x v="37"/>
          </reference>
          <reference field="2" count="1">
            <x v="25"/>
          </reference>
        </references>
      </pivotArea>
    </format>
    <format dxfId="90">
      <pivotArea dataOnly="0" labelOnly="1" fieldPosition="0">
        <references count="2">
          <reference field="1" count="1" selected="0">
            <x v="41"/>
          </reference>
          <reference field="2" count="1">
            <x v="2"/>
          </reference>
        </references>
      </pivotArea>
    </format>
    <format dxfId="89">
      <pivotArea dataOnly="0" labelOnly="1" fieldPosition="0">
        <references count="2">
          <reference field="1" count="1" selected="0">
            <x v="47"/>
          </reference>
          <reference field="2" count="1">
            <x v="25"/>
          </reference>
        </references>
      </pivotArea>
    </format>
    <format dxfId="88">
      <pivotArea dataOnly="0" labelOnly="1" grandRow="1" outline="0" fieldPosition="0"/>
    </format>
    <format dxfId="87">
      <pivotArea dataOnly="0" labelOnly="1" fieldPosition="0">
        <references count="3">
          <reference field="1" count="1" selected="0">
            <x v="5"/>
          </reference>
          <reference field="2" count="1" selected="0">
            <x v="2"/>
          </reference>
          <reference field="3" count="1">
            <x v="16"/>
          </reference>
        </references>
      </pivotArea>
    </format>
    <format dxfId="86">
      <pivotArea dataOnly="0" labelOnly="1" fieldPosition="0">
        <references count="3">
          <reference field="1" count="1" selected="0">
            <x v="12"/>
          </reference>
          <reference field="2" count="1" selected="0">
            <x v="26"/>
          </reference>
          <reference field="3" count="1">
            <x v="30"/>
          </reference>
        </references>
      </pivotArea>
    </format>
    <format dxfId="85">
      <pivotArea dataOnly="0" labelOnly="1" fieldPosition="0">
        <references count="3">
          <reference field="1" count="1" selected="0">
            <x v="42"/>
          </reference>
          <reference field="2" count="1" selected="0">
            <x v="29"/>
          </reference>
          <reference field="3" count="1">
            <x v="38"/>
          </reference>
        </references>
      </pivotArea>
    </format>
    <format dxfId="84">
      <pivotArea dataOnly="0" labelOnly="1" fieldPosition="0">
        <references count="3">
          <reference field="1" count="1" selected="0">
            <x v="50"/>
          </reference>
          <reference field="2" count="1" selected="0">
            <x v="29"/>
          </reference>
          <reference field="3" count="1">
            <x v="43"/>
          </reference>
        </references>
      </pivotArea>
    </format>
    <format dxfId="83">
      <pivotArea dataOnly="0" labelOnly="1" fieldPosition="0">
        <references count="3">
          <reference field="1" count="1" selected="0">
            <x v="51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82">
      <pivotArea dataOnly="0" labelOnly="1" fieldPosition="0">
        <references count="3">
          <reference field="1" count="1" selected="0">
            <x v="52"/>
          </reference>
          <reference field="2" count="1" selected="0">
            <x v="30"/>
          </reference>
          <reference field="3" count="1">
            <x v="24"/>
          </reference>
        </references>
      </pivotArea>
    </format>
    <format dxfId="81">
      <pivotArea dataOnly="0" labelOnly="1" fieldPosition="0">
        <references count="3">
          <reference field="1" count="1" selected="0">
            <x v="53"/>
          </reference>
          <reference field="2" count="1" selected="0">
            <x v="33"/>
          </reference>
          <reference field="3" count="1">
            <x v="14"/>
          </reference>
        </references>
      </pivotArea>
    </format>
    <format dxfId="80">
      <pivotArea dataOnly="0" labelOnly="1" fieldPosition="0">
        <references count="3">
          <reference field="1" count="1" selected="0">
            <x v="54"/>
          </reference>
          <reference field="2" count="1" selected="0">
            <x v="2"/>
          </reference>
          <reference field="3" count="1">
            <x v="28"/>
          </reference>
        </references>
      </pivotArea>
    </format>
    <format dxfId="79">
      <pivotArea dataOnly="0" labelOnly="1" fieldPosition="0">
        <references count="3">
          <reference field="1" count="1" selected="0">
            <x v="55"/>
          </reference>
          <reference field="2" count="1" selected="0">
            <x v="9"/>
          </reference>
          <reference field="3" count="1">
            <x v="41"/>
          </reference>
        </references>
      </pivotArea>
    </format>
    <format dxfId="78">
      <pivotArea dataOnly="0" labelOnly="1" fieldPosition="0">
        <references count="3">
          <reference field="1" count="1" selected="0">
            <x v="56"/>
          </reference>
          <reference field="2" count="1" selected="0">
            <x v="9"/>
          </reference>
          <reference field="3" count="1">
            <x v="0"/>
          </reference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E9F1E-7FBA-4184-8AB1-473F751AEE72}" name="tb_base_carteira" displayName="tb_base_carteira" ref="B1:L55" totalsRowShown="0">
  <autoFilter ref="B1:L55" xr:uid="{9EAE9F1E-7FBA-4184-8AB1-473F751AEE72}"/>
  <sortState xmlns:xlrd2="http://schemas.microsoft.com/office/spreadsheetml/2017/richdata2" ref="B11:H20">
    <sortCondition descending="1" ref="D1:D29"/>
  </sortState>
  <tableColumns count="11">
    <tableColumn id="1" xr3:uid="{7EA74A75-4525-44D3-B540-D4DB52FC783D}" name="Ativo"/>
    <tableColumn id="2" xr3:uid="{109197C7-7F8E-456A-A21C-421CB5E7C61A}" name="Ticker"/>
    <tableColumn id="3" xr3:uid="{3714A62D-9F63-4F79-A807-5413DFF827F2}" name="Peso" dataDxfId="115"/>
    <tableColumn id="4" xr3:uid="{DD0618A4-7B9E-4760-8841-E10ACF148DFC}" name="Até que preço comprar" dataDxfId="114"/>
    <tableColumn id="5" xr3:uid="{109E95E3-D628-4B29-AE2A-B15753C9D076}" name="carteira"/>
    <tableColumn id="6" xr3:uid="{6A6843EA-8BE2-4843-B99F-20962E208F02}" name="ultima_att" dataDxfId="113"/>
    <tableColumn id="7" xr3:uid="{643E9DE1-01D3-4CE4-9DBB-566FF50C54B8}" name="obs"/>
    <tableColumn id="8" xr3:uid="{A6A6C2AB-DB41-46FF-9B18-D81C0E542C9C}" name="rentabilidade anual"/>
    <tableColumn id="9" xr3:uid="{236474AC-7C91-41D4-B6E8-0E1F6E920CDE}" name="rentabilidade proporcional" dataDxfId="112">
      <calculatedColumnFormula>tb_base_carteira[[#This Row],[rentabilidade anual]]*tb_base_carteira[[#This Row],[Peso]]</calculatedColumnFormula>
    </tableColumn>
    <tableColumn id="10" xr3:uid="{E02F9659-E9C2-4D03-8D3E-A50F0A318188}" name="dy"/>
    <tableColumn id="11" xr3:uid="{34DD4246-78CE-4522-90D4-B8E229FD66E1}" name="dy porporcional" dataDxfId="111">
      <calculatedColumnFormula>tb_base_carteira[[#This Row],[dy]]*tb_base_carteira[[#This Row],[Peso]]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652A82-52F5-44F5-9CD7-31D71FF08F33}" name="Tabela25" displayName="Tabela25" ref="N5:P10" totalsRowShown="0">
  <autoFilter ref="N5:P10" xr:uid="{905E07AA-2022-4D31-881C-5549735DC953}"/>
  <tableColumns count="3">
    <tableColumn id="1" xr3:uid="{37DD35C4-BF07-4F29-A52F-86960BEB4C17}" name="Classe"/>
    <tableColumn id="2" xr3:uid="{69FD9489-6A3A-469B-AB52-78EAE3CE2A44}" name="Peso" dataDxfId="7"/>
    <tableColumn id="3" xr3:uid="{EB375EE9-C127-4DBE-ACAA-860F9CB422C4}" name="Valor" dataDxfId="6">
      <calculatedColumnFormula>$N$4*Tabela25[[#This Row],[Peso]]</calculatedColumnFormula>
    </tableColumn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BD01C0-FC67-4511-98EC-1806B93B56F1}" name="Tabela5" displayName="Tabela5" ref="T3:X86" totalsRowShown="0" headerRowBorderDxfId="5" tableBorderDxfId="4" totalsRowBorderDxfId="3">
  <autoFilter ref="T3:X86" xr:uid="{36BD01C0-FC67-4511-98EC-1806B93B56F1}"/>
  <tableColumns count="5">
    <tableColumn id="1" xr3:uid="{63A45C3A-C587-44CE-8980-EE7D7FF5078C}" name="descrição" dataDxfId="2"/>
    <tableColumn id="2" xr3:uid="{74E14D39-DB13-40C0-9A61-CB5E3E177B87}" name="D/C" dataDxfId="1"/>
    <tableColumn id="3" xr3:uid="{26232359-0DD2-4DE7-9A3F-72379D3561CB}" name="valor" dataDxfId="0"/>
    <tableColumn id="4" xr3:uid="{DE6534F5-C6AD-4008-93CD-ED8C260F81C8}" name="data"/>
    <tableColumn id="5" xr3:uid="{10010734-9DF2-4609-8F36-BF8BBD73A31A}" name="categori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2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55"/>
  <sheetViews>
    <sheetView showGridLines="0" tabSelected="1" zoomScale="115" zoomScaleNormal="115" workbookViewId="0">
      <selection activeCell="B1" sqref="B1:H1"/>
    </sheetView>
  </sheetViews>
  <sheetFormatPr defaultRowHeight="14.4" x14ac:dyDescent="0.3"/>
  <cols>
    <col min="1" max="1" width="3.5546875" customWidth="1"/>
    <col min="2" max="2" width="30.88671875" customWidth="1"/>
    <col min="3" max="3" width="12.109375" bestFit="1" customWidth="1"/>
    <col min="4" max="4" width="9.109375" style="6"/>
    <col min="5" max="5" width="22.77734375" style="19" bestFit="1" customWidth="1"/>
    <col min="6" max="6" width="10.5546875" bestFit="1" customWidth="1"/>
    <col min="7" max="7" width="12.44140625" bestFit="1" customWidth="1"/>
    <col min="9" max="9" width="20.88671875" hidden="1" customWidth="1"/>
    <col min="10" max="10" width="27.44140625" hidden="1" customWidth="1"/>
    <col min="11" max="11" width="0" hidden="1" customWidth="1"/>
    <col min="12" max="12" width="17.33203125" hidden="1" customWidth="1"/>
  </cols>
  <sheetData>
    <row r="1" spans="2:12" x14ac:dyDescent="0.3">
      <c r="B1" t="s">
        <v>0</v>
      </c>
      <c r="C1" t="s">
        <v>1</v>
      </c>
      <c r="D1" s="6" t="s">
        <v>2</v>
      </c>
      <c r="E1" s="19" t="s">
        <v>3</v>
      </c>
      <c r="F1" t="s">
        <v>19</v>
      </c>
      <c r="G1" t="s">
        <v>40</v>
      </c>
      <c r="H1" t="s">
        <v>52</v>
      </c>
      <c r="I1" t="s">
        <v>130</v>
      </c>
      <c r="J1" t="s">
        <v>131</v>
      </c>
      <c r="K1" t="s">
        <v>134</v>
      </c>
      <c r="L1" t="s">
        <v>135</v>
      </c>
    </row>
    <row r="2" spans="2:12" x14ac:dyDescent="0.3">
      <c r="B2" t="s">
        <v>85</v>
      </c>
      <c r="C2" t="s">
        <v>21</v>
      </c>
      <c r="D2" s="22">
        <v>0.21</v>
      </c>
      <c r="E2" s="20">
        <v>45</v>
      </c>
      <c r="F2" t="s">
        <v>26</v>
      </c>
      <c r="G2" s="2">
        <v>45879</v>
      </c>
      <c r="H2" t="s">
        <v>53</v>
      </c>
      <c r="I2">
        <v>-3.55</v>
      </c>
      <c r="J2">
        <f>tb_base_carteira[[#This Row],[rentabilidade anual]]*tb_base_carteira[[#This Row],[Peso]]</f>
        <v>-0.74549999999999994</v>
      </c>
      <c r="L2">
        <f>tb_base_carteira[[#This Row],[dy]]*tb_base_carteira[[#This Row],[Peso]]</f>
        <v>0</v>
      </c>
    </row>
    <row r="3" spans="2:12" x14ac:dyDescent="0.3">
      <c r="B3" t="s">
        <v>86</v>
      </c>
      <c r="C3" t="s">
        <v>22</v>
      </c>
      <c r="D3" s="22">
        <v>0.15049999999999999</v>
      </c>
      <c r="E3" s="20">
        <v>42</v>
      </c>
      <c r="F3" t="s">
        <v>26</v>
      </c>
      <c r="G3" s="2">
        <v>45879</v>
      </c>
      <c r="H3" t="s">
        <v>166</v>
      </c>
      <c r="I3">
        <v>-7.86</v>
      </c>
      <c r="J3">
        <f>tb_base_carteira[[#This Row],[rentabilidade anual]]*tb_base_carteira[[#This Row],[Peso]]</f>
        <v>-1.18293</v>
      </c>
      <c r="L3">
        <f>tb_base_carteira[[#This Row],[dy]]*tb_base_carteira[[#This Row],[Peso]]</f>
        <v>0</v>
      </c>
    </row>
    <row r="4" spans="2:12" x14ac:dyDescent="0.3">
      <c r="B4" t="s">
        <v>87</v>
      </c>
      <c r="C4" t="s">
        <v>25</v>
      </c>
      <c r="D4" s="22">
        <v>0.25</v>
      </c>
      <c r="E4" s="20">
        <v>42</v>
      </c>
      <c r="F4" t="s">
        <v>26</v>
      </c>
      <c r="G4" s="2">
        <v>45879</v>
      </c>
      <c r="H4" t="s">
        <v>53</v>
      </c>
      <c r="I4">
        <v>11.88</v>
      </c>
      <c r="J4">
        <f>tb_base_carteira[[#This Row],[rentabilidade anual]]*tb_base_carteira[[#This Row],[Peso]]</f>
        <v>2.97</v>
      </c>
      <c r="L4">
        <f>tb_base_carteira[[#This Row],[dy]]*tb_base_carteira[[#This Row],[Peso]]</f>
        <v>0</v>
      </c>
    </row>
    <row r="5" spans="2:12" x14ac:dyDescent="0.3">
      <c r="B5" t="s">
        <v>88</v>
      </c>
      <c r="C5" t="s">
        <v>23</v>
      </c>
      <c r="D5" s="22">
        <v>0.12820000000000001</v>
      </c>
      <c r="E5" s="20">
        <v>6</v>
      </c>
      <c r="F5" t="s">
        <v>26</v>
      </c>
      <c r="G5" s="2">
        <v>45879</v>
      </c>
      <c r="H5" t="s">
        <v>53</v>
      </c>
      <c r="I5">
        <v>-8.9700000000000006</v>
      </c>
      <c r="J5">
        <f>tb_base_carteira[[#This Row],[rentabilidade anual]]*tb_base_carteira[[#This Row],[Peso]]</f>
        <v>-1.1499540000000001</v>
      </c>
      <c r="L5">
        <f>tb_base_carteira[[#This Row],[dy]]*tb_base_carteira[[#This Row],[Peso]]</f>
        <v>0</v>
      </c>
    </row>
    <row r="6" spans="2:12" x14ac:dyDescent="0.3">
      <c r="B6" t="s">
        <v>89</v>
      </c>
      <c r="C6" t="s">
        <v>24</v>
      </c>
      <c r="D6" s="22">
        <v>9.0200000000000002E-2</v>
      </c>
      <c r="E6" s="20">
        <v>20</v>
      </c>
      <c r="F6" t="s">
        <v>26</v>
      </c>
      <c r="G6" s="2">
        <v>45879</v>
      </c>
      <c r="H6" t="s">
        <v>53</v>
      </c>
      <c r="I6">
        <v>-11.4</v>
      </c>
      <c r="J6">
        <f>tb_base_carteira[[#This Row],[rentabilidade anual]]*tb_base_carteira[[#This Row],[Peso]]</f>
        <v>-1.0282800000000001</v>
      </c>
      <c r="L6">
        <f>tb_base_carteira[[#This Row],[dy]]*tb_base_carteira[[#This Row],[Peso]]</f>
        <v>0</v>
      </c>
    </row>
    <row r="7" spans="2:12" x14ac:dyDescent="0.3">
      <c r="B7" t="s">
        <v>90</v>
      </c>
      <c r="C7" t="s">
        <v>84</v>
      </c>
      <c r="D7" s="22">
        <v>4.3200000000000002E-2</v>
      </c>
      <c r="E7" s="20">
        <v>21</v>
      </c>
      <c r="F7" t="s">
        <v>26</v>
      </c>
      <c r="G7" s="2">
        <v>45879</v>
      </c>
      <c r="H7" t="s">
        <v>53</v>
      </c>
      <c r="I7">
        <v>-20.46</v>
      </c>
      <c r="J7">
        <f>tb_base_carteira[[#This Row],[rentabilidade anual]]*tb_base_carteira[[#This Row],[Peso]]</f>
        <v>-0.8838720000000001</v>
      </c>
      <c r="L7">
        <f>tb_base_carteira[[#This Row],[dy]]*tb_base_carteira[[#This Row],[Peso]]</f>
        <v>0</v>
      </c>
    </row>
    <row r="8" spans="2:12" x14ac:dyDescent="0.3">
      <c r="B8" t="s">
        <v>136</v>
      </c>
      <c r="C8" t="s">
        <v>137</v>
      </c>
      <c r="D8" s="22">
        <v>7.3400000000000007E-2</v>
      </c>
      <c r="E8" s="20">
        <v>45</v>
      </c>
      <c r="F8" t="s">
        <v>26</v>
      </c>
      <c r="G8" s="2">
        <v>45879</v>
      </c>
      <c r="H8" t="s">
        <v>53</v>
      </c>
      <c r="I8">
        <v>65.72</v>
      </c>
      <c r="J8">
        <f>tb_base_carteira[[#This Row],[rentabilidade anual]]*tb_base_carteira[[#This Row],[Peso]]</f>
        <v>4.8238480000000008</v>
      </c>
      <c r="L8">
        <f>tb_base_carteira[[#This Row],[dy]]*tb_base_carteira[[#This Row],[Peso]]</f>
        <v>0</v>
      </c>
    </row>
    <row r="9" spans="2:12" x14ac:dyDescent="0.3">
      <c r="B9" t="s">
        <v>168</v>
      </c>
      <c r="C9" t="s">
        <v>167</v>
      </c>
      <c r="D9" s="22">
        <v>0.05</v>
      </c>
      <c r="E9" s="20">
        <v>4.5</v>
      </c>
      <c r="F9" t="s">
        <v>26</v>
      </c>
      <c r="G9" s="2">
        <v>45879</v>
      </c>
      <c r="H9" t="s">
        <v>53</v>
      </c>
      <c r="I9">
        <v>-23.55</v>
      </c>
      <c r="J9">
        <f>tb_base_carteira[[#This Row],[rentabilidade anual]]*tb_base_carteira[[#This Row],[Peso]]</f>
        <v>-1.1775</v>
      </c>
      <c r="L9">
        <f>tb_base_carteira[[#This Row],[dy]]*tb_base_carteira[[#This Row],[Peso]]</f>
        <v>0</v>
      </c>
    </row>
    <row r="10" spans="2:12" x14ac:dyDescent="0.3">
      <c r="B10" t="s">
        <v>39</v>
      </c>
      <c r="C10" t="s">
        <v>38</v>
      </c>
      <c r="D10" s="22">
        <v>0.16400000000000001</v>
      </c>
      <c r="E10" s="19">
        <v>235</v>
      </c>
      <c r="F10" t="s">
        <v>34</v>
      </c>
      <c r="G10" s="2">
        <v>45881</v>
      </c>
      <c r="H10" t="s">
        <v>53</v>
      </c>
      <c r="I10">
        <v>156.30000000000001</v>
      </c>
      <c r="J10">
        <f>tb_base_carteira[[#This Row],[rentabilidade anual]]*tb_base_carteira[[#This Row],[Peso]]</f>
        <v>25.633200000000002</v>
      </c>
      <c r="L10">
        <f>tb_base_carteira[[#This Row],[dy]]*tb_base_carteira[[#This Row],[Peso]]</f>
        <v>0</v>
      </c>
    </row>
    <row r="11" spans="2:12" x14ac:dyDescent="0.3">
      <c r="B11" t="s">
        <v>60</v>
      </c>
      <c r="C11" t="s">
        <v>61</v>
      </c>
      <c r="D11" s="22">
        <v>8.5400000000000004E-2</v>
      </c>
      <c r="E11" s="19">
        <v>74</v>
      </c>
      <c r="F11" t="s">
        <v>34</v>
      </c>
      <c r="G11" s="2">
        <v>45881</v>
      </c>
      <c r="H11" t="s">
        <v>53</v>
      </c>
      <c r="I11">
        <v>21.8</v>
      </c>
      <c r="J11">
        <f>tb_base_carteira[[#This Row],[rentabilidade anual]]*tb_base_carteira[[#This Row],[Peso]]</f>
        <v>1.86172</v>
      </c>
      <c r="L11">
        <f>tb_base_carteira[[#This Row],[dy]]*tb_base_carteira[[#This Row],[Peso]]</f>
        <v>0</v>
      </c>
    </row>
    <row r="12" spans="2:12" x14ac:dyDescent="0.3">
      <c r="B12" s="3" t="s">
        <v>62</v>
      </c>
      <c r="C12" s="3" t="s">
        <v>63</v>
      </c>
      <c r="D12" s="23">
        <v>0.12</v>
      </c>
      <c r="E12" s="19">
        <v>56.68</v>
      </c>
      <c r="F12" t="s">
        <v>34</v>
      </c>
      <c r="G12" s="2">
        <v>45881</v>
      </c>
      <c r="H12" t="s">
        <v>81</v>
      </c>
      <c r="I12">
        <v>28.87</v>
      </c>
      <c r="J12">
        <f>tb_base_carteira[[#This Row],[rentabilidade anual]]*tb_base_carteira[[#This Row],[Peso]]</f>
        <v>3.4643999999999999</v>
      </c>
      <c r="L12">
        <f>tb_base_carteira[[#This Row],[dy]]*tb_base_carteira[[#This Row],[Peso]]</f>
        <v>0</v>
      </c>
    </row>
    <row r="13" spans="2:12" x14ac:dyDescent="0.3">
      <c r="B13" t="s">
        <v>64</v>
      </c>
      <c r="C13" t="s">
        <v>65</v>
      </c>
      <c r="D13" s="22">
        <v>0.11</v>
      </c>
      <c r="E13" s="19">
        <v>60</v>
      </c>
      <c r="F13" t="s">
        <v>34</v>
      </c>
      <c r="G13" s="2">
        <v>45881</v>
      </c>
      <c r="H13" t="s">
        <v>81</v>
      </c>
      <c r="I13">
        <v>279.83999999999997</v>
      </c>
      <c r="J13">
        <f>tb_base_carteira[[#This Row],[rentabilidade anual]]*tb_base_carteira[[#This Row],[Peso]]</f>
        <v>30.782399999999999</v>
      </c>
      <c r="L13">
        <f>tb_base_carteira[[#This Row],[dy]]*tb_base_carteira[[#This Row],[Peso]]</f>
        <v>0</v>
      </c>
    </row>
    <row r="14" spans="2:12" x14ac:dyDescent="0.3">
      <c r="B14" t="s">
        <v>54</v>
      </c>
      <c r="C14" t="s">
        <v>55</v>
      </c>
      <c r="D14" s="22">
        <v>0.09</v>
      </c>
      <c r="E14" s="19">
        <v>750</v>
      </c>
      <c r="F14" t="s">
        <v>34</v>
      </c>
      <c r="G14" s="2">
        <v>45881</v>
      </c>
      <c r="H14" t="s">
        <v>53</v>
      </c>
      <c r="I14">
        <v>96.8</v>
      </c>
      <c r="J14">
        <f>tb_base_carteira[[#This Row],[rentabilidade anual]]*tb_base_carteira[[#This Row],[Peso]]</f>
        <v>8.7119999999999997</v>
      </c>
      <c r="L14">
        <f>tb_base_carteira[[#This Row],[dy]]*tb_base_carteira[[#This Row],[Peso]]</f>
        <v>0</v>
      </c>
    </row>
    <row r="15" spans="2:12" x14ac:dyDescent="0.3">
      <c r="B15" t="s">
        <v>51</v>
      </c>
      <c r="C15" t="s">
        <v>133</v>
      </c>
      <c r="D15" s="22">
        <v>0.15</v>
      </c>
      <c r="E15" s="19">
        <v>0</v>
      </c>
      <c r="F15" t="s">
        <v>34</v>
      </c>
      <c r="G15" s="2">
        <v>45881</v>
      </c>
      <c r="H15" t="s">
        <v>53</v>
      </c>
      <c r="I15">
        <v>24.02</v>
      </c>
      <c r="J15">
        <f>tb_base_carteira[[#This Row],[rentabilidade anual]]*tb_base_carteira[[#This Row],[Peso]]</f>
        <v>3.6029999999999998</v>
      </c>
      <c r="L15">
        <f>tb_base_carteira[[#This Row],[dy]]*tb_base_carteira[[#This Row],[Peso]]</f>
        <v>0</v>
      </c>
    </row>
    <row r="16" spans="2:12" x14ac:dyDescent="0.3">
      <c r="B16" t="s">
        <v>58</v>
      </c>
      <c r="C16" t="s">
        <v>59</v>
      </c>
      <c r="D16" s="22">
        <v>0.05</v>
      </c>
      <c r="E16" s="19">
        <v>94</v>
      </c>
      <c r="F16" t="s">
        <v>34</v>
      </c>
      <c r="G16" s="2">
        <v>45881</v>
      </c>
      <c r="H16" t="s">
        <v>81</v>
      </c>
      <c r="I16">
        <v>-1.68</v>
      </c>
      <c r="J16">
        <f>tb_base_carteira[[#This Row],[rentabilidade anual]]*tb_base_carteira[[#This Row],[Peso]]</f>
        <v>-8.4000000000000005E-2</v>
      </c>
      <c r="L16">
        <f>tb_base_carteira[[#This Row],[dy]]*tb_base_carteira[[#This Row],[Peso]]</f>
        <v>0</v>
      </c>
    </row>
    <row r="17" spans="2:21" x14ac:dyDescent="0.3">
      <c r="B17" t="s">
        <v>36</v>
      </c>
      <c r="C17" t="s">
        <v>35</v>
      </c>
      <c r="D17" s="22">
        <v>0.05</v>
      </c>
      <c r="E17" s="19">
        <v>75</v>
      </c>
      <c r="F17" t="s">
        <v>34</v>
      </c>
      <c r="G17" s="2">
        <v>45881</v>
      </c>
      <c r="H17" t="s">
        <v>53</v>
      </c>
      <c r="I17">
        <v>36.85</v>
      </c>
      <c r="J17">
        <f>tb_base_carteira[[#This Row],[rentabilidade anual]]*tb_base_carteira[[#This Row],[Peso]]</f>
        <v>1.8425000000000002</v>
      </c>
      <c r="L17">
        <f>tb_base_carteira[[#This Row],[dy]]*tb_base_carteira[[#This Row],[Peso]]</f>
        <v>0</v>
      </c>
    </row>
    <row r="18" spans="2:21" x14ac:dyDescent="0.3">
      <c r="B18" t="s">
        <v>156</v>
      </c>
      <c r="C18" t="s">
        <v>155</v>
      </c>
      <c r="D18" s="22">
        <v>0.04</v>
      </c>
      <c r="E18" s="19">
        <v>86</v>
      </c>
      <c r="F18" t="s">
        <v>34</v>
      </c>
      <c r="G18" s="2">
        <v>45881</v>
      </c>
      <c r="H18" t="s">
        <v>53</v>
      </c>
      <c r="J18" s="33">
        <f>tb_base_carteira[[#This Row],[rentabilidade anual]]*tb_base_carteira[[#This Row],[Peso]]</f>
        <v>0</v>
      </c>
      <c r="L18" s="33">
        <f>tb_base_carteira[[#This Row],[dy]]*tb_base_carteira[[#This Row],[Peso]]</f>
        <v>0</v>
      </c>
    </row>
    <row r="19" spans="2:21" x14ac:dyDescent="0.3">
      <c r="B19" t="s">
        <v>56</v>
      </c>
      <c r="C19" t="s">
        <v>57</v>
      </c>
      <c r="D19" s="22">
        <v>0.06</v>
      </c>
      <c r="E19" s="19">
        <v>1200</v>
      </c>
      <c r="F19" t="s">
        <v>34</v>
      </c>
      <c r="G19" s="2">
        <v>45881</v>
      </c>
      <c r="H19" t="s">
        <v>53</v>
      </c>
      <c r="I19">
        <v>107.21</v>
      </c>
      <c r="J19">
        <f>tb_base_carteira[[#This Row],[rentabilidade anual]]*tb_base_carteira[[#This Row],[Peso]]</f>
        <v>6.432599999999999</v>
      </c>
      <c r="L19">
        <f>tb_base_carteira[[#This Row],[dy]]*tb_base_carteira[[#This Row],[Peso]]</f>
        <v>0</v>
      </c>
    </row>
    <row r="20" spans="2:21" x14ac:dyDescent="0.3">
      <c r="B20" t="s">
        <v>37</v>
      </c>
      <c r="C20" t="s">
        <v>33</v>
      </c>
      <c r="D20" s="22">
        <v>0.04</v>
      </c>
      <c r="E20" s="19">
        <v>77</v>
      </c>
      <c r="F20" t="s">
        <v>34</v>
      </c>
      <c r="G20" s="2">
        <v>45881</v>
      </c>
      <c r="H20" t="s">
        <v>53</v>
      </c>
      <c r="I20">
        <v>3.91</v>
      </c>
      <c r="J20">
        <f>tb_base_carteira[[#This Row],[rentabilidade anual]]*tb_base_carteira[[#This Row],[Peso]]</f>
        <v>0.15640000000000001</v>
      </c>
      <c r="L20">
        <f>tb_base_carteira[[#This Row],[dy]]*tb_base_carteira[[#This Row],[Peso]]</f>
        <v>0</v>
      </c>
    </row>
    <row r="21" spans="2:21" x14ac:dyDescent="0.3">
      <c r="B21" t="s">
        <v>152</v>
      </c>
      <c r="C21" t="s">
        <v>149</v>
      </c>
      <c r="D21" s="22">
        <v>0.45</v>
      </c>
      <c r="E21" s="19">
        <v>1</v>
      </c>
      <c r="F21" t="s">
        <v>41</v>
      </c>
      <c r="G21" s="2">
        <v>45879</v>
      </c>
      <c r="H21" t="s">
        <v>53</v>
      </c>
      <c r="I21">
        <v>13.39</v>
      </c>
      <c r="J21">
        <f>tb_base_carteira[[#This Row],[rentabilidade anual]]*tb_base_carteira[[#This Row],[Peso]]</f>
        <v>6.0255000000000001</v>
      </c>
      <c r="L21">
        <f>tb_base_carteira[[#This Row],[dy]]*tb_base_carteira[[#This Row],[Peso]]</f>
        <v>0</v>
      </c>
    </row>
    <row r="22" spans="2:21" x14ac:dyDescent="0.3">
      <c r="B22" t="s">
        <v>151</v>
      </c>
      <c r="C22" t="s">
        <v>150</v>
      </c>
      <c r="D22" s="22">
        <v>0.4</v>
      </c>
      <c r="E22" s="19">
        <v>5</v>
      </c>
      <c r="F22" t="s">
        <v>41</v>
      </c>
      <c r="G22" s="2">
        <v>45879</v>
      </c>
      <c r="H22" t="s">
        <v>53</v>
      </c>
      <c r="I22">
        <v>14.63</v>
      </c>
      <c r="J22">
        <f>tb_base_carteira[[#This Row],[rentabilidade anual]]*tb_base_carteira[[#This Row],[Peso]]</f>
        <v>5.8520000000000003</v>
      </c>
      <c r="L22">
        <f>tb_base_carteira[[#This Row],[dy]]*tb_base_carteira[[#This Row],[Peso]]</f>
        <v>0</v>
      </c>
    </row>
    <row r="23" spans="2:21" x14ac:dyDescent="0.3">
      <c r="B23" t="s">
        <v>153</v>
      </c>
      <c r="C23" t="s">
        <v>154</v>
      </c>
      <c r="D23" s="22">
        <v>0.15</v>
      </c>
      <c r="E23" s="19">
        <v>30</v>
      </c>
      <c r="F23" t="s">
        <v>41</v>
      </c>
      <c r="G23" s="2">
        <v>45879</v>
      </c>
      <c r="H23" t="s">
        <v>53</v>
      </c>
      <c r="I23">
        <v>10.4</v>
      </c>
      <c r="J23">
        <f>tb_base_carteira[[#This Row],[rentabilidade anual]]*tb_base_carteira[[#This Row],[Peso]]</f>
        <v>1.56</v>
      </c>
      <c r="L23">
        <f>tb_base_carteira[[#This Row],[dy]]*tb_base_carteira[[#This Row],[Peso]]</f>
        <v>0</v>
      </c>
    </row>
    <row r="24" spans="2:21" x14ac:dyDescent="0.3">
      <c r="B24" t="s">
        <v>49</v>
      </c>
      <c r="C24" t="s">
        <v>50</v>
      </c>
      <c r="D24" s="22">
        <v>0.2</v>
      </c>
      <c r="E24" s="19">
        <v>3875</v>
      </c>
      <c r="F24" t="s">
        <v>42</v>
      </c>
      <c r="G24" s="2">
        <v>45879</v>
      </c>
      <c r="H24" t="s">
        <v>166</v>
      </c>
      <c r="I24" s="33">
        <v>83</v>
      </c>
      <c r="J24">
        <f>tb_base_carteira[[#This Row],[rentabilidade anual]]*tb_base_carteira[[#This Row],[Peso]]</f>
        <v>16.600000000000001</v>
      </c>
      <c r="L24">
        <f>tb_base_carteira[[#This Row],[dy]]*tb_base_carteira[[#This Row],[Peso]]</f>
        <v>0</v>
      </c>
    </row>
    <row r="25" spans="2:21" x14ac:dyDescent="0.3">
      <c r="B25" t="s">
        <v>44</v>
      </c>
      <c r="C25" t="s">
        <v>43</v>
      </c>
      <c r="D25" s="22">
        <v>0.45</v>
      </c>
      <c r="E25" s="19">
        <v>116000</v>
      </c>
      <c r="F25" t="s">
        <v>42</v>
      </c>
      <c r="G25" s="2">
        <v>45879</v>
      </c>
      <c r="H25" t="s">
        <v>81</v>
      </c>
      <c r="I25" s="33">
        <v>127.27</v>
      </c>
      <c r="J25" s="33">
        <f>tb_base_carteira[[#This Row],[rentabilidade anual]]*tb_base_carteira[[#This Row],[Peso]]</f>
        <v>57.271499999999996</v>
      </c>
      <c r="L25">
        <f>tb_base_carteira[[#This Row],[dy]]*tb_base_carteira[[#This Row],[Peso]]</f>
        <v>0</v>
      </c>
    </row>
    <row r="26" spans="2:21" x14ac:dyDescent="0.3">
      <c r="B26" t="s">
        <v>75</v>
      </c>
      <c r="C26" t="s">
        <v>76</v>
      </c>
      <c r="D26" s="22">
        <v>0.1</v>
      </c>
      <c r="E26" s="19">
        <v>180</v>
      </c>
      <c r="F26" t="s">
        <v>42</v>
      </c>
      <c r="G26" s="2">
        <v>45879</v>
      </c>
      <c r="H26" t="s">
        <v>53</v>
      </c>
      <c r="I26" s="33">
        <v>178.56</v>
      </c>
      <c r="J26" s="33">
        <f>tb_base_carteira[[#This Row],[rentabilidade anual]]*tb_base_carteira[[#This Row],[Peso]]</f>
        <v>17.856000000000002</v>
      </c>
      <c r="L26">
        <f>tb_base_carteira[[#This Row],[dy]]*tb_base_carteira[[#This Row],[Peso]]</f>
        <v>0</v>
      </c>
      <c r="Q26" s="1"/>
      <c r="T26">
        <v>10</v>
      </c>
      <c r="U26">
        <v>3</v>
      </c>
    </row>
    <row r="27" spans="2:21" x14ac:dyDescent="0.3">
      <c r="B27" t="s">
        <v>161</v>
      </c>
      <c r="C27" t="s">
        <v>161</v>
      </c>
      <c r="D27" s="22">
        <v>0.05</v>
      </c>
      <c r="E27" s="19">
        <v>284</v>
      </c>
      <c r="F27" t="s">
        <v>42</v>
      </c>
      <c r="G27" s="2">
        <v>45879</v>
      </c>
      <c r="H27" t="s">
        <v>81</v>
      </c>
      <c r="I27" s="33"/>
      <c r="J27" s="33">
        <f>tb_base_carteira[[#This Row],[rentabilidade anual]]*tb_base_carteira[[#This Row],[Peso]]</f>
        <v>0</v>
      </c>
      <c r="L27" s="33">
        <f>tb_base_carteira[[#This Row],[dy]]*tb_base_carteira[[#This Row],[Peso]]</f>
        <v>0</v>
      </c>
      <c r="Q27" s="1"/>
    </row>
    <row r="28" spans="2:21" x14ac:dyDescent="0.3">
      <c r="B28" t="s">
        <v>174</v>
      </c>
      <c r="C28" t="s">
        <v>173</v>
      </c>
      <c r="D28" s="22">
        <v>0.1</v>
      </c>
      <c r="E28" s="19">
        <v>5.52</v>
      </c>
      <c r="F28" t="s">
        <v>42</v>
      </c>
      <c r="G28" s="2">
        <v>45879</v>
      </c>
      <c r="H28" t="s">
        <v>53</v>
      </c>
      <c r="I28" s="33">
        <v>430</v>
      </c>
      <c r="J28" s="33">
        <f>tb_base_carteira[[#This Row],[rentabilidade anual]]*tb_base_carteira[[#This Row],[Peso]]</f>
        <v>43</v>
      </c>
      <c r="L28">
        <f>tb_base_carteira[[#This Row],[dy]]*tb_base_carteira[[#This Row],[Peso]]</f>
        <v>0</v>
      </c>
      <c r="Q28" s="1"/>
      <c r="T28">
        <v>9</v>
      </c>
      <c r="U28">
        <v>1</v>
      </c>
    </row>
    <row r="29" spans="2:21" x14ac:dyDescent="0.3">
      <c r="B29" t="s">
        <v>51</v>
      </c>
      <c r="C29" t="s">
        <v>132</v>
      </c>
      <c r="D29" s="22">
        <v>0.1</v>
      </c>
      <c r="E29" s="19">
        <v>11.76</v>
      </c>
      <c r="F29" t="s">
        <v>42</v>
      </c>
      <c r="G29" s="2">
        <v>45879</v>
      </c>
      <c r="H29" t="s">
        <v>53</v>
      </c>
      <c r="I29" s="33">
        <v>24.02</v>
      </c>
      <c r="J29" s="33">
        <f>tb_base_carteira[[#This Row],[rentabilidade anual]]*tb_base_carteira[[#This Row],[Peso]]</f>
        <v>2.4020000000000001</v>
      </c>
      <c r="L29">
        <f>tb_base_carteira[[#This Row],[dy]]*tb_base_carteira[[#This Row],[Peso]]</f>
        <v>0</v>
      </c>
      <c r="Q29" s="1"/>
      <c r="T29">
        <v>8</v>
      </c>
    </row>
    <row r="30" spans="2:21" x14ac:dyDescent="0.3">
      <c r="B30" s="16" t="s">
        <v>138</v>
      </c>
      <c r="C30" t="s">
        <v>28</v>
      </c>
      <c r="D30" s="22">
        <v>0.15390000000000001</v>
      </c>
      <c r="E30" s="18">
        <v>40</v>
      </c>
      <c r="F30" t="s">
        <v>27</v>
      </c>
      <c r="G30" s="2">
        <v>45879</v>
      </c>
      <c r="H30" s="42" t="s">
        <v>81</v>
      </c>
      <c r="I30">
        <v>22.75</v>
      </c>
      <c r="J30">
        <f>tb_base_carteira[[#This Row],[rentabilidade anual]]*tb_base_carteira[[#This Row],[Peso]]</f>
        <v>3.5012250000000003</v>
      </c>
      <c r="K30">
        <v>7.48</v>
      </c>
      <c r="L30">
        <f>tb_base_carteira[[#This Row],[dy]]*tb_base_carteira[[#This Row],[Peso]]</f>
        <v>1.1511720000000001</v>
      </c>
    </row>
    <row r="31" spans="2:21" x14ac:dyDescent="0.3">
      <c r="B31" s="16" t="s">
        <v>139</v>
      </c>
      <c r="C31" t="s">
        <v>29</v>
      </c>
      <c r="D31" s="22">
        <v>0.12180000000000001</v>
      </c>
      <c r="E31" s="18">
        <v>35</v>
      </c>
      <c r="F31" t="s">
        <v>27</v>
      </c>
      <c r="G31" s="2">
        <v>45879</v>
      </c>
      <c r="H31" s="17" t="s">
        <v>53</v>
      </c>
      <c r="I31">
        <v>7.97</v>
      </c>
      <c r="J31">
        <f>tb_base_carteira[[#This Row],[rentabilidade anual]]*tb_base_carteira[[#This Row],[Peso]]</f>
        <v>0.970746</v>
      </c>
      <c r="K31">
        <v>8.14</v>
      </c>
      <c r="L31">
        <f>tb_base_carteira[[#This Row],[dy]]*tb_base_carteira[[#This Row],[Peso]]</f>
        <v>0.99145200000000011</v>
      </c>
    </row>
    <row r="32" spans="2:21" x14ac:dyDescent="0.3">
      <c r="B32" s="42" t="s">
        <v>140</v>
      </c>
      <c r="C32" t="s">
        <v>146</v>
      </c>
      <c r="D32" s="22">
        <v>0.1002</v>
      </c>
      <c r="E32" s="18">
        <v>27</v>
      </c>
      <c r="F32" t="s">
        <v>27</v>
      </c>
      <c r="G32" s="2">
        <v>45879</v>
      </c>
      <c r="H32" s="17" t="s">
        <v>53</v>
      </c>
      <c r="I32">
        <v>4.25</v>
      </c>
      <c r="J32">
        <f>tb_base_carteira[[#This Row],[rentabilidade anual]]*tb_base_carteira[[#This Row],[Peso]]</f>
        <v>0.42585000000000001</v>
      </c>
      <c r="K32">
        <v>8.93</v>
      </c>
      <c r="L32">
        <f>tb_base_carteira[[#This Row],[dy]]*tb_base_carteira[[#This Row],[Peso]]</f>
        <v>0.89478599999999997</v>
      </c>
    </row>
    <row r="33" spans="2:12" x14ac:dyDescent="0.3">
      <c r="B33" s="16" t="s">
        <v>141</v>
      </c>
      <c r="C33" t="s">
        <v>31</v>
      </c>
      <c r="D33" s="22">
        <v>8.8300000000000003E-2</v>
      </c>
      <c r="E33" s="18">
        <v>29</v>
      </c>
      <c r="F33" t="s">
        <v>27</v>
      </c>
      <c r="G33" s="2">
        <v>45879</v>
      </c>
      <c r="H33" s="17" t="s">
        <v>53</v>
      </c>
      <c r="I33">
        <v>-0.92</v>
      </c>
      <c r="J33">
        <f>tb_base_carteira[[#This Row],[rentabilidade anual]]*tb_base_carteira[[#This Row],[Peso]]</f>
        <v>-8.1236000000000003E-2</v>
      </c>
      <c r="K33">
        <v>3.25</v>
      </c>
      <c r="L33">
        <f>tb_base_carteira[[#This Row],[dy]]*tb_base_carteira[[#This Row],[Peso]]</f>
        <v>0.28697500000000004</v>
      </c>
    </row>
    <row r="34" spans="2:12" x14ac:dyDescent="0.3">
      <c r="B34" s="16" t="s">
        <v>142</v>
      </c>
      <c r="C34" t="s">
        <v>30</v>
      </c>
      <c r="D34" s="22">
        <v>6.9000000000000006E-2</v>
      </c>
      <c r="E34" s="18">
        <v>71</v>
      </c>
      <c r="F34" t="s">
        <v>27</v>
      </c>
      <c r="G34" s="2">
        <v>45879</v>
      </c>
      <c r="H34" s="17" t="s">
        <v>53</v>
      </c>
      <c r="I34">
        <v>-15.06</v>
      </c>
      <c r="J34">
        <f>tb_base_carteira[[#This Row],[rentabilidade anual]]*tb_base_carteira[[#This Row],[Peso]]</f>
        <v>-1.0391400000000002</v>
      </c>
      <c r="K34">
        <v>8.4600000000000009</v>
      </c>
      <c r="L34">
        <f>tb_base_carteira[[#This Row],[dy]]*tb_base_carteira[[#This Row],[Peso]]</f>
        <v>0.58374000000000015</v>
      </c>
    </row>
    <row r="35" spans="2:12" x14ac:dyDescent="0.3">
      <c r="B35" s="16" t="s">
        <v>143</v>
      </c>
      <c r="C35" t="s">
        <v>32</v>
      </c>
      <c r="D35" s="22">
        <v>7.1999999999999995E-2</v>
      </c>
      <c r="E35" s="18">
        <v>130</v>
      </c>
      <c r="F35" t="s">
        <v>27</v>
      </c>
      <c r="G35" s="2">
        <v>45879</v>
      </c>
      <c r="H35" s="42" t="s">
        <v>53</v>
      </c>
      <c r="I35">
        <v>39.68</v>
      </c>
      <c r="J35">
        <f>tb_base_carteira[[#This Row],[rentabilidade anual]]*tb_base_carteira[[#This Row],[Peso]]</f>
        <v>2.8569599999999999</v>
      </c>
      <c r="K35">
        <v>10.24</v>
      </c>
      <c r="L35">
        <f>tb_base_carteira[[#This Row],[dy]]*tb_base_carteira[[#This Row],[Peso]]</f>
        <v>0.73727999999999994</v>
      </c>
    </row>
    <row r="36" spans="2:12" x14ac:dyDescent="0.3">
      <c r="B36" s="16" t="s">
        <v>144</v>
      </c>
      <c r="C36" t="s">
        <v>82</v>
      </c>
      <c r="D36" s="22">
        <v>7.9000000000000001E-2</v>
      </c>
      <c r="E36" s="18">
        <v>40.5</v>
      </c>
      <c r="F36" t="s">
        <v>27</v>
      </c>
      <c r="G36" s="2">
        <v>45879</v>
      </c>
      <c r="H36" s="17" t="s">
        <v>53</v>
      </c>
      <c r="I36">
        <v>-6.13</v>
      </c>
      <c r="J36">
        <f>tb_base_carteira[[#This Row],[rentabilidade anual]]*tb_base_carteira[[#This Row],[Peso]]</f>
        <v>-0.48426999999999998</v>
      </c>
      <c r="K36">
        <v>8.6</v>
      </c>
      <c r="L36">
        <f>tb_base_carteira[[#This Row],[dy]]*tb_base_carteira[[#This Row],[Peso]]</f>
        <v>0.6794</v>
      </c>
    </row>
    <row r="37" spans="2:12" x14ac:dyDescent="0.3">
      <c r="B37" s="42" t="s">
        <v>162</v>
      </c>
      <c r="C37" t="s">
        <v>163</v>
      </c>
      <c r="D37" s="22">
        <v>9.1399999999999995E-2</v>
      </c>
      <c r="E37" s="18">
        <v>9.5</v>
      </c>
      <c r="F37" t="s">
        <v>27</v>
      </c>
      <c r="G37" s="2">
        <v>45879</v>
      </c>
      <c r="H37" s="17" t="s">
        <v>53</v>
      </c>
      <c r="I37">
        <v>22.27</v>
      </c>
      <c r="J37">
        <f>tb_base_carteira[[#This Row],[rentabilidade anual]]*tb_base_carteira[[#This Row],[Peso]]</f>
        <v>2.0354779999999999</v>
      </c>
      <c r="K37">
        <v>7.97</v>
      </c>
      <c r="L37">
        <f>tb_base_carteira[[#This Row],[dy]]*tb_base_carteira[[#This Row],[Peso]]</f>
        <v>0.72845799999999994</v>
      </c>
    </row>
    <row r="38" spans="2:12" x14ac:dyDescent="0.3">
      <c r="B38" s="42" t="s">
        <v>169</v>
      </c>
      <c r="C38" t="s">
        <v>170</v>
      </c>
      <c r="D38" s="22">
        <v>7.9000000000000001E-2</v>
      </c>
      <c r="E38" s="18">
        <v>19</v>
      </c>
      <c r="F38" t="s">
        <v>27</v>
      </c>
      <c r="G38" s="2">
        <v>45879</v>
      </c>
      <c r="H38" s="42" t="s">
        <v>81</v>
      </c>
      <c r="I38">
        <v>-4.05</v>
      </c>
      <c r="J38">
        <f>tb_base_carteira[[#This Row],[rentabilidade anual]]*tb_base_carteira[[#This Row],[Peso]]</f>
        <v>-0.31995000000000001</v>
      </c>
      <c r="K38">
        <v>8.49</v>
      </c>
      <c r="L38">
        <f>tb_base_carteira[[#This Row],[dy]]*tb_base_carteira[[#This Row],[Peso]]</f>
        <v>0.67071000000000003</v>
      </c>
    </row>
    <row r="39" spans="2:12" x14ac:dyDescent="0.3">
      <c r="B39" s="16" t="s">
        <v>145</v>
      </c>
      <c r="C39" t="s">
        <v>83</v>
      </c>
      <c r="D39" s="22">
        <v>8.0600000000000005E-2</v>
      </c>
      <c r="E39" s="18">
        <v>46</v>
      </c>
      <c r="F39" t="s">
        <v>27</v>
      </c>
      <c r="G39" s="2">
        <v>45879</v>
      </c>
      <c r="H39" s="42" t="s">
        <v>53</v>
      </c>
      <c r="I39">
        <v>-8.41</v>
      </c>
      <c r="J39">
        <f>tb_base_carteira[[#This Row],[rentabilidade anual]]*tb_base_carteira[[#This Row],[Peso]]</f>
        <v>-0.67784600000000006</v>
      </c>
      <c r="K39">
        <v>6.69</v>
      </c>
      <c r="L39">
        <f>tb_base_carteira[[#This Row],[dy]]*tb_base_carteira[[#This Row],[Peso]]</f>
        <v>0.53921400000000008</v>
      </c>
    </row>
    <row r="40" spans="2:12" x14ac:dyDescent="0.3">
      <c r="B40" t="s">
        <v>91</v>
      </c>
      <c r="C40" t="s">
        <v>92</v>
      </c>
      <c r="D40" s="22">
        <v>0.11</v>
      </c>
      <c r="E40" s="19">
        <v>9.64</v>
      </c>
      <c r="F40" t="s">
        <v>20</v>
      </c>
      <c r="G40" s="2">
        <v>45879</v>
      </c>
      <c r="H40" t="s">
        <v>53</v>
      </c>
      <c r="I40">
        <v>-27.37</v>
      </c>
      <c r="J40">
        <f>tb_base_carteira[[#This Row],[rentabilidade anual]]*tb_base_carteira[[#This Row],[Peso]]</f>
        <v>-3.0106999999999999</v>
      </c>
      <c r="K40">
        <v>15.51</v>
      </c>
      <c r="L40">
        <f>tb_base_carteira[[#This Row],[dy]]*tb_base_carteira[[#This Row],[Peso]]</f>
        <v>1.7060999999999999</v>
      </c>
    </row>
    <row r="41" spans="2:12" x14ac:dyDescent="0.3">
      <c r="B41" t="s">
        <v>10</v>
      </c>
      <c r="C41" t="s">
        <v>11</v>
      </c>
      <c r="D41" s="22">
        <v>0.09</v>
      </c>
      <c r="E41" s="19">
        <v>95.44</v>
      </c>
      <c r="F41" t="s">
        <v>20</v>
      </c>
      <c r="G41" s="2">
        <v>45879</v>
      </c>
      <c r="H41" t="s">
        <v>81</v>
      </c>
      <c r="I41">
        <v>-13.53</v>
      </c>
      <c r="J41">
        <f>tb_base_carteira[[#This Row],[rentabilidade anual]]*tb_base_carteira[[#This Row],[Peso]]</f>
        <v>-1.2177</v>
      </c>
      <c r="K41">
        <v>14.7</v>
      </c>
      <c r="L41">
        <f>tb_base_carteira[[#This Row],[dy]]*tb_base_carteira[[#This Row],[Peso]]</f>
        <v>1.323</v>
      </c>
    </row>
    <row r="42" spans="2:12" x14ac:dyDescent="0.3">
      <c r="B42" t="s">
        <v>12</v>
      </c>
      <c r="C42" t="s">
        <v>13</v>
      </c>
      <c r="D42" s="22">
        <v>0.1</v>
      </c>
      <c r="E42" s="19">
        <v>8.9</v>
      </c>
      <c r="F42" t="s">
        <v>20</v>
      </c>
      <c r="G42" s="2">
        <v>45879</v>
      </c>
      <c r="H42" t="s">
        <v>53</v>
      </c>
      <c r="I42">
        <v>-13.38</v>
      </c>
      <c r="J42">
        <f>tb_base_carteira[[#This Row],[rentabilidade anual]]*tb_base_carteira[[#This Row],[Peso]]</f>
        <v>-1.3380000000000001</v>
      </c>
      <c r="K42">
        <v>12.84</v>
      </c>
      <c r="L42">
        <f>tb_base_carteira[[#This Row],[dy]]*tb_base_carteira[[#This Row],[Peso]]</f>
        <v>1.284</v>
      </c>
    </row>
    <row r="43" spans="2:12" x14ac:dyDescent="0.3">
      <c r="B43" t="s">
        <v>6</v>
      </c>
      <c r="C43" t="s">
        <v>7</v>
      </c>
      <c r="D43" s="22">
        <v>7.4999999999999997E-2</v>
      </c>
      <c r="E43" s="19">
        <v>159</v>
      </c>
      <c r="F43" t="s">
        <v>20</v>
      </c>
      <c r="G43" s="2">
        <v>45879</v>
      </c>
      <c r="H43" t="s">
        <v>53</v>
      </c>
      <c r="I43">
        <v>4.2</v>
      </c>
      <c r="J43">
        <f>tb_base_carteira[[#This Row],[rentabilidade anual]]*tb_base_carteira[[#This Row],[Peso]]</f>
        <v>0.315</v>
      </c>
      <c r="K43">
        <v>13.53</v>
      </c>
      <c r="L43">
        <f>tb_base_carteira[[#This Row],[dy]]*tb_base_carteira[[#This Row],[Peso]]</f>
        <v>1.0147499999999998</v>
      </c>
    </row>
    <row r="44" spans="2:12" x14ac:dyDescent="0.3">
      <c r="B44" t="s">
        <v>4</v>
      </c>
      <c r="C44" t="s">
        <v>5</v>
      </c>
      <c r="D44" s="22">
        <v>7.0000000000000007E-2</v>
      </c>
      <c r="E44" s="19">
        <v>114.19</v>
      </c>
      <c r="F44" t="s">
        <v>20</v>
      </c>
      <c r="G44" s="2">
        <v>45879</v>
      </c>
      <c r="H44" t="s">
        <v>53</v>
      </c>
      <c r="I44">
        <v>-3.31</v>
      </c>
      <c r="J44">
        <f>tb_base_carteira[[#This Row],[rentabilidade anual]]*tb_base_carteira[[#This Row],[Peso]]</f>
        <v>-0.23170000000000002</v>
      </c>
      <c r="K44">
        <v>9.24</v>
      </c>
      <c r="L44">
        <f>tb_base_carteira[[#This Row],[dy]]*tb_base_carteira[[#This Row],[Peso]]</f>
        <v>0.64680000000000004</v>
      </c>
    </row>
    <row r="45" spans="2:12" x14ac:dyDescent="0.3">
      <c r="B45" t="s">
        <v>15</v>
      </c>
      <c r="C45" t="s">
        <v>16</v>
      </c>
      <c r="D45" s="22">
        <v>7.0000000000000007E-2</v>
      </c>
      <c r="E45" s="19">
        <v>101.9</v>
      </c>
      <c r="F45" t="s">
        <v>20</v>
      </c>
      <c r="G45" s="2">
        <v>45879</v>
      </c>
      <c r="H45" t="s">
        <v>53</v>
      </c>
      <c r="I45">
        <v>-21.04</v>
      </c>
      <c r="J45">
        <f>tb_base_carteira[[#This Row],[rentabilidade anual]]*tb_base_carteira[[#This Row],[Peso]]</f>
        <v>-1.4728000000000001</v>
      </c>
      <c r="K45">
        <v>11.23</v>
      </c>
      <c r="L45">
        <f>tb_base_carteira[[#This Row],[dy]]*tb_base_carteira[[#This Row],[Peso]]</f>
        <v>0.78610000000000013</v>
      </c>
    </row>
    <row r="46" spans="2:12" x14ac:dyDescent="0.3">
      <c r="B46" t="s">
        <v>78</v>
      </c>
      <c r="C46" t="s">
        <v>79</v>
      </c>
      <c r="D46" s="22">
        <v>7.0000000000000007E-2</v>
      </c>
      <c r="E46" s="19">
        <v>8.98</v>
      </c>
      <c r="F46" t="s">
        <v>20</v>
      </c>
      <c r="G46" s="2">
        <v>45879</v>
      </c>
      <c r="H46" t="s">
        <v>53</v>
      </c>
      <c r="I46">
        <v>-6.67</v>
      </c>
      <c r="J46">
        <f>tb_base_carteira[[#This Row],[rentabilidade anual]]*tb_base_carteira[[#This Row],[Peso]]</f>
        <v>-0.46690000000000004</v>
      </c>
      <c r="K46">
        <v>12.73</v>
      </c>
      <c r="L46">
        <f>tb_base_carteira[[#This Row],[dy]]*tb_base_carteira[[#This Row],[Peso]]</f>
        <v>0.89110000000000011</v>
      </c>
    </row>
    <row r="47" spans="2:12" x14ac:dyDescent="0.3">
      <c r="B47" t="s">
        <v>8</v>
      </c>
      <c r="C47" t="s">
        <v>9</v>
      </c>
      <c r="D47" s="22">
        <v>0.05</v>
      </c>
      <c r="E47" s="19">
        <v>150</v>
      </c>
      <c r="F47" t="s">
        <v>20</v>
      </c>
      <c r="G47" s="2">
        <v>45879</v>
      </c>
      <c r="H47" t="s">
        <v>53</v>
      </c>
      <c r="I47">
        <v>-14.85</v>
      </c>
      <c r="J47">
        <f>tb_base_carteira[[#This Row],[rentabilidade anual]]*tb_base_carteira[[#This Row],[Peso]]</f>
        <v>-0.74250000000000005</v>
      </c>
      <c r="K47">
        <v>11.8</v>
      </c>
      <c r="L47">
        <f>tb_base_carteira[[#This Row],[dy]]*tb_base_carteira[[#This Row],[Peso]]</f>
        <v>0.59000000000000008</v>
      </c>
    </row>
    <row r="48" spans="2:12" x14ac:dyDescent="0.3">
      <c r="B48" t="s">
        <v>69</v>
      </c>
      <c r="C48" t="s">
        <v>70</v>
      </c>
      <c r="D48" s="22">
        <v>7.0000000000000007E-2</v>
      </c>
      <c r="E48" s="19">
        <v>102</v>
      </c>
      <c r="F48" t="s">
        <v>20</v>
      </c>
      <c r="G48" s="2">
        <v>45879</v>
      </c>
      <c r="H48" t="s">
        <v>53</v>
      </c>
      <c r="I48">
        <v>5.46</v>
      </c>
      <c r="J48">
        <f>tb_base_carteira[[#This Row],[rentabilidade anual]]*tb_base_carteira[[#This Row],[Peso]]</f>
        <v>0.38220000000000004</v>
      </c>
      <c r="K48">
        <v>10.7</v>
      </c>
      <c r="L48">
        <f>tb_base_carteira[[#This Row],[dy]]*tb_base_carteira[[#This Row],[Peso]]</f>
        <v>0.749</v>
      </c>
    </row>
    <row r="49" spans="2:12" x14ac:dyDescent="0.3">
      <c r="B49" t="s">
        <v>71</v>
      </c>
      <c r="C49" t="s">
        <v>72</v>
      </c>
      <c r="D49" s="22">
        <v>0.06</v>
      </c>
      <c r="E49" s="19">
        <v>110</v>
      </c>
      <c r="F49" t="s">
        <v>20</v>
      </c>
      <c r="G49" s="2">
        <v>45879</v>
      </c>
      <c r="H49" t="s">
        <v>53</v>
      </c>
      <c r="I49">
        <v>-8.2899999999999991</v>
      </c>
      <c r="J49">
        <f>tb_base_carteira[[#This Row],[rentabilidade anual]]*tb_base_carteira[[#This Row],[Peso]]</f>
        <v>-0.49739999999999995</v>
      </c>
      <c r="K49">
        <v>12.03</v>
      </c>
      <c r="L49">
        <f>tb_base_carteira[[#This Row],[dy]]*tb_base_carteira[[#This Row],[Peso]]</f>
        <v>0.72179999999999989</v>
      </c>
    </row>
    <row r="50" spans="2:12" x14ac:dyDescent="0.3">
      <c r="B50" t="s">
        <v>147</v>
      </c>
      <c r="C50" t="s">
        <v>148</v>
      </c>
      <c r="D50" s="22">
        <v>5.5E-2</v>
      </c>
      <c r="E50" s="19">
        <v>105</v>
      </c>
      <c r="F50" t="s">
        <v>20</v>
      </c>
      <c r="G50" s="2">
        <v>45879</v>
      </c>
      <c r="H50" t="s">
        <v>53</v>
      </c>
      <c r="I50">
        <v>-14.2</v>
      </c>
      <c r="J50">
        <f>tb_base_carteira[[#This Row],[rentabilidade anual]]*tb_base_carteira[[#This Row],[Peso]]</f>
        <v>-0.78099999999999992</v>
      </c>
      <c r="K50">
        <v>11.39</v>
      </c>
      <c r="L50">
        <f>tb_base_carteira[[#This Row],[dy]]*tb_base_carteira[[#This Row],[Peso]]</f>
        <v>0.62645000000000006</v>
      </c>
    </row>
    <row r="51" spans="2:12" x14ac:dyDescent="0.3">
      <c r="B51" t="s">
        <v>73</v>
      </c>
      <c r="C51" t="s">
        <v>74</v>
      </c>
      <c r="D51" s="22">
        <v>5.5E-2</v>
      </c>
      <c r="E51" s="19">
        <v>20</v>
      </c>
      <c r="F51" t="s">
        <v>20</v>
      </c>
      <c r="G51" s="2">
        <v>45879</v>
      </c>
      <c r="H51" t="s">
        <v>53</v>
      </c>
      <c r="I51">
        <v>-2.0499999999999998</v>
      </c>
      <c r="J51">
        <f>tb_base_carteira[[#This Row],[rentabilidade anual]]*tb_base_carteira[[#This Row],[Peso]]</f>
        <v>-0.11274999999999999</v>
      </c>
      <c r="K51">
        <v>14.82</v>
      </c>
      <c r="L51">
        <f>tb_base_carteira[[#This Row],[dy]]*tb_base_carteira[[#This Row],[Peso]]</f>
        <v>0.81510000000000005</v>
      </c>
    </row>
    <row r="52" spans="2:12" x14ac:dyDescent="0.3">
      <c r="B52" t="s">
        <v>165</v>
      </c>
      <c r="C52" t="s">
        <v>164</v>
      </c>
      <c r="D52" s="22">
        <v>0.05</v>
      </c>
      <c r="E52" s="19">
        <v>106</v>
      </c>
      <c r="F52" t="s">
        <v>20</v>
      </c>
      <c r="G52" s="2">
        <v>45879</v>
      </c>
      <c r="H52" t="s">
        <v>53</v>
      </c>
      <c r="I52">
        <v>-19.7</v>
      </c>
      <c r="J52">
        <f>tb_base_carteira[[#This Row],[rentabilidade anual]]*tb_base_carteira[[#This Row],[Peso]]</f>
        <v>-0.98499999999999999</v>
      </c>
      <c r="K52">
        <v>10.65</v>
      </c>
      <c r="L52">
        <f>tb_base_carteira[[#This Row],[dy]]*tb_base_carteira[[#This Row],[Peso]]</f>
        <v>0.53250000000000008</v>
      </c>
    </row>
    <row r="53" spans="2:12" x14ac:dyDescent="0.3">
      <c r="B53" t="s">
        <v>17</v>
      </c>
      <c r="C53" t="s">
        <v>18</v>
      </c>
      <c r="D53" s="22">
        <v>4.4999999999999998E-2</v>
      </c>
      <c r="E53" s="19">
        <v>10.7</v>
      </c>
      <c r="F53" t="s">
        <v>20</v>
      </c>
      <c r="G53" s="2">
        <v>45879</v>
      </c>
      <c r="H53" t="s">
        <v>53</v>
      </c>
      <c r="I53">
        <v>-20.73</v>
      </c>
      <c r="J53">
        <f>tb_base_carteira[[#This Row],[rentabilidade anual]]*tb_base_carteira[[#This Row],[Peso]]</f>
        <v>-0.93284999999999996</v>
      </c>
      <c r="K53">
        <v>14.05</v>
      </c>
      <c r="L53">
        <f>tb_base_carteira[[#This Row],[dy]]*tb_base_carteira[[#This Row],[Peso]]</f>
        <v>0.63224999999999998</v>
      </c>
    </row>
    <row r="54" spans="2:12" x14ac:dyDescent="0.3">
      <c r="B54" t="s">
        <v>80</v>
      </c>
      <c r="C54" t="s">
        <v>14</v>
      </c>
      <c r="D54" s="22">
        <v>0.03</v>
      </c>
      <c r="E54" s="19">
        <v>127</v>
      </c>
      <c r="F54" t="s">
        <v>20</v>
      </c>
      <c r="G54" s="2">
        <v>45879</v>
      </c>
      <c r="H54" t="s">
        <v>53</v>
      </c>
      <c r="I54">
        <v>-4.6900000000000004</v>
      </c>
      <c r="J54">
        <f>tb_base_carteira[[#This Row],[rentabilidade anual]]*tb_base_carteira[[#This Row],[Peso]]</f>
        <v>-0.14070000000000002</v>
      </c>
      <c r="K54">
        <v>9.4600000000000009</v>
      </c>
      <c r="L54">
        <f>tb_base_carteira[[#This Row],[dy]]*tb_base_carteira[[#This Row],[Peso]]</f>
        <v>0.2838</v>
      </c>
    </row>
    <row r="55" spans="2:12" x14ac:dyDescent="0.3">
      <c r="B55" t="s">
        <v>175</v>
      </c>
      <c r="C55" t="s">
        <v>176</v>
      </c>
      <c r="D55" s="22">
        <v>0.05</v>
      </c>
      <c r="E55" s="19">
        <v>63</v>
      </c>
      <c r="F55" t="s">
        <v>34</v>
      </c>
      <c r="G55" s="2">
        <v>45881</v>
      </c>
      <c r="H55" t="s">
        <v>53</v>
      </c>
      <c r="J55" s="33">
        <f>tb_base_carteira[[#This Row],[rentabilidade anual]]*tb_base_carteira[[#This Row],[Peso]]</f>
        <v>0</v>
      </c>
      <c r="L55" s="33">
        <f>tb_base_carteira[[#This Row],[dy]]*tb_base_carteira[[#This Row],[Peso]]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B837-C315-4085-B714-464BE8A205FE}">
  <dimension ref="A1:AE86"/>
  <sheetViews>
    <sheetView showGridLines="0" zoomScaleNormal="100" workbookViewId="0">
      <selection activeCell="I52" sqref="I52"/>
    </sheetView>
  </sheetViews>
  <sheetFormatPr defaultRowHeight="14.4" x14ac:dyDescent="0.3"/>
  <cols>
    <col min="1" max="1" width="17.21875" bestFit="1" customWidth="1"/>
    <col min="2" max="2" width="11.44140625" bestFit="1" customWidth="1"/>
    <col min="3" max="3" width="22.77734375" style="5" bestFit="1" customWidth="1"/>
    <col min="4" max="4" width="22.6640625" bestFit="1" customWidth="1"/>
    <col min="5" max="5" width="9.109375" customWidth="1"/>
    <col min="6" max="6" width="18.33203125" bestFit="1" customWidth="1"/>
    <col min="7" max="7" width="11.44140625" bestFit="1" customWidth="1"/>
    <col min="8" max="8" width="22.77734375" style="5" bestFit="1" customWidth="1"/>
    <col min="9" max="9" width="28.33203125" bestFit="1" customWidth="1"/>
    <col min="10" max="10" width="8.5546875" bestFit="1" customWidth="1"/>
    <col min="11" max="11" width="9.109375" hidden="1" customWidth="1"/>
    <col min="12" max="12" width="0" hidden="1" customWidth="1"/>
    <col min="14" max="14" width="17" customWidth="1"/>
    <col min="15" max="15" width="14.5546875" bestFit="1" customWidth="1"/>
    <col min="16" max="16" width="12.6640625" bestFit="1" customWidth="1"/>
    <col min="20" max="20" width="15.33203125" bestFit="1" customWidth="1"/>
    <col min="21" max="21" width="10.33203125" customWidth="1"/>
    <col min="22" max="22" width="12.109375" style="5" bestFit="1" customWidth="1"/>
    <col min="23" max="23" width="10.6640625" bestFit="1" customWidth="1"/>
    <col min="24" max="24" width="12.88671875" bestFit="1" customWidth="1"/>
    <col min="27" max="27" width="19.5546875" bestFit="1" customWidth="1"/>
    <col min="28" max="28" width="13.109375" bestFit="1" customWidth="1"/>
    <col min="29" max="29" width="11.6640625" bestFit="1" customWidth="1"/>
    <col min="30" max="30" width="21.44140625" bestFit="1" customWidth="1"/>
    <col min="31" max="31" width="13.109375" bestFit="1" customWidth="1"/>
    <col min="32" max="49" width="23.5546875" bestFit="1" customWidth="1"/>
    <col min="50" max="50" width="7" bestFit="1" customWidth="1"/>
    <col min="51" max="51" width="10.6640625" bestFit="1" customWidth="1"/>
  </cols>
  <sheetData>
    <row r="1" spans="1:31" x14ac:dyDescent="0.3">
      <c r="A1" s="24" t="s">
        <v>19</v>
      </c>
      <c r="B1" s="24" t="s">
        <v>20</v>
      </c>
      <c r="C1" s="43">
        <v>0.4</v>
      </c>
      <c r="D1" s="24"/>
      <c r="F1" s="4" t="s">
        <v>19</v>
      </c>
      <c r="G1" t="s">
        <v>27</v>
      </c>
      <c r="H1" s="6">
        <f>VLOOKUP(G1,Tabela25[],2,0)</f>
        <v>0.02</v>
      </c>
      <c r="T1" s="47" t="s">
        <v>93</v>
      </c>
      <c r="U1" s="47"/>
      <c r="V1" s="47"/>
    </row>
    <row r="2" spans="1:31" x14ac:dyDescent="0.3">
      <c r="A2" s="24"/>
      <c r="B2" s="24"/>
      <c r="C2" s="7"/>
      <c r="D2" s="7" t="s">
        <v>46</v>
      </c>
      <c r="G2" s="14">
        <f ca="1">O2</f>
        <v>45920</v>
      </c>
      <c r="I2" s="7" t="s">
        <v>66</v>
      </c>
      <c r="N2" t="s">
        <v>68</v>
      </c>
      <c r="O2" s="13">
        <f ca="1">TODAY()</f>
        <v>45920</v>
      </c>
    </row>
    <row r="3" spans="1:31" x14ac:dyDescent="0.3">
      <c r="A3" s="24" t="s">
        <v>45</v>
      </c>
      <c r="B3" s="24" t="s">
        <v>2</v>
      </c>
      <c r="C3" s="7" t="s">
        <v>3</v>
      </c>
      <c r="D3" s="7">
        <f>N4*O6</f>
        <v>1222.2920000000001</v>
      </c>
      <c r="F3" s="4" t="s">
        <v>45</v>
      </c>
      <c r="G3" s="4" t="s">
        <v>2</v>
      </c>
      <c r="H3" s="4" t="s">
        <v>3</v>
      </c>
      <c r="I3" s="7">
        <f>N4*O7</f>
        <v>61.114600000000003</v>
      </c>
      <c r="N3" t="s">
        <v>67</v>
      </c>
      <c r="T3" s="25" t="s">
        <v>94</v>
      </c>
      <c r="U3" s="24" t="s">
        <v>95</v>
      </c>
      <c r="V3" s="29" t="s">
        <v>96</v>
      </c>
      <c r="W3" s="28" t="s">
        <v>105</v>
      </c>
      <c r="X3" s="28" t="s">
        <v>113</v>
      </c>
    </row>
    <row r="4" spans="1:31" x14ac:dyDescent="0.3">
      <c r="A4" s="24" t="s">
        <v>79</v>
      </c>
      <c r="B4" s="24">
        <v>25</v>
      </c>
      <c r="C4" s="7">
        <v>9.4600000000000009</v>
      </c>
      <c r="D4" s="7">
        <f>$D$3*B4/100</f>
        <v>305.57300000000004</v>
      </c>
      <c r="F4" s="10" t="s">
        <v>28</v>
      </c>
      <c r="G4" s="11" t="s">
        <v>157</v>
      </c>
      <c r="H4" s="10">
        <v>40</v>
      </c>
      <c r="I4" s="7">
        <f>$I$3*G4</f>
        <v>61.114600000000003</v>
      </c>
      <c r="N4" s="46">
        <v>3055.73</v>
      </c>
      <c r="O4" s="46"/>
      <c r="T4" s="25" t="s">
        <v>97</v>
      </c>
      <c r="U4" s="24" t="s">
        <v>99</v>
      </c>
      <c r="V4" s="29">
        <v>100</v>
      </c>
      <c r="W4" s="2">
        <v>45597</v>
      </c>
      <c r="AA4" s="4" t="s">
        <v>95</v>
      </c>
      <c r="AB4" t="s">
        <v>99</v>
      </c>
      <c r="AD4" s="4" t="s">
        <v>95</v>
      </c>
      <c r="AE4" t="s">
        <v>100</v>
      </c>
    </row>
    <row r="5" spans="1:31" x14ac:dyDescent="0.3">
      <c r="A5" s="24" t="s">
        <v>13</v>
      </c>
      <c r="B5" s="24">
        <v>25</v>
      </c>
      <c r="C5" s="7">
        <v>9.7100000000000009</v>
      </c>
      <c r="D5" s="7">
        <f>$D$3*B5/100</f>
        <v>305.57300000000004</v>
      </c>
      <c r="F5" s="10" t="s">
        <v>171</v>
      </c>
      <c r="H5"/>
      <c r="I5" s="7">
        <f t="shared" ref="I5:I16" si="0">$I$3*G5</f>
        <v>0</v>
      </c>
      <c r="N5" t="s">
        <v>47</v>
      </c>
      <c r="O5" t="s">
        <v>2</v>
      </c>
      <c r="P5" t="s">
        <v>77</v>
      </c>
      <c r="T5" s="25" t="s">
        <v>97</v>
      </c>
      <c r="U5" t="s">
        <v>99</v>
      </c>
      <c r="V5" s="5">
        <v>80</v>
      </c>
      <c r="W5" s="2">
        <v>45597</v>
      </c>
    </row>
    <row r="6" spans="1:31" x14ac:dyDescent="0.3">
      <c r="A6" s="24" t="s">
        <v>11</v>
      </c>
      <c r="B6" s="24">
        <v>25</v>
      </c>
      <c r="C6" s="7">
        <v>95.44</v>
      </c>
      <c r="D6" s="7">
        <f>$D$3*B6/100</f>
        <v>305.57300000000004</v>
      </c>
      <c r="H6"/>
      <c r="I6" s="7">
        <f>$I$3*G6</f>
        <v>0</v>
      </c>
      <c r="N6" t="s">
        <v>20</v>
      </c>
      <c r="O6" s="6">
        <v>0.4</v>
      </c>
      <c r="P6" s="15">
        <f>$N$4*Tabela25[[#This Row],[Peso]]</f>
        <v>1222.2920000000001</v>
      </c>
      <c r="T6" s="26" t="s">
        <v>98</v>
      </c>
      <c r="U6" s="27" t="s">
        <v>100</v>
      </c>
      <c r="V6" s="30">
        <v>50</v>
      </c>
      <c r="W6" s="2">
        <v>45597</v>
      </c>
      <c r="AA6" s="4" t="s">
        <v>172</v>
      </c>
      <c r="AB6" t="s">
        <v>124</v>
      </c>
      <c r="AD6" s="4" t="s">
        <v>172</v>
      </c>
      <c r="AE6" t="s">
        <v>124</v>
      </c>
    </row>
    <row r="7" spans="1:31" x14ac:dyDescent="0.3">
      <c r="A7" s="24" t="s">
        <v>92</v>
      </c>
      <c r="B7" s="24">
        <v>25</v>
      </c>
      <c r="C7" s="7">
        <v>9.64</v>
      </c>
      <c r="D7" s="7">
        <f>$D$3*B7/100</f>
        <v>305.57300000000004</v>
      </c>
      <c r="H7"/>
      <c r="I7" s="7">
        <f t="shared" si="0"/>
        <v>0</v>
      </c>
      <c r="N7" t="s">
        <v>27</v>
      </c>
      <c r="O7" s="6">
        <v>0.02</v>
      </c>
      <c r="P7" s="15">
        <f>$N$4*Tabela25[[#This Row],[Peso]]</f>
        <v>61.114600000000003</v>
      </c>
      <c r="T7" s="26" t="s">
        <v>97</v>
      </c>
      <c r="U7" s="27" t="s">
        <v>99</v>
      </c>
      <c r="V7" s="30">
        <v>100</v>
      </c>
      <c r="W7" s="2">
        <v>45597</v>
      </c>
      <c r="AA7" s="10" t="s">
        <v>97</v>
      </c>
      <c r="AB7" s="34">
        <v>5280</v>
      </c>
      <c r="AD7" s="10" t="s">
        <v>103</v>
      </c>
      <c r="AE7" s="34">
        <v>3409</v>
      </c>
    </row>
    <row r="8" spans="1:31" x14ac:dyDescent="0.3">
      <c r="A8" s="24" t="s">
        <v>45</v>
      </c>
      <c r="B8" s="24"/>
      <c r="C8" s="7"/>
      <c r="D8" s="21">
        <f ca="1">SUM(D4:D17)</f>
        <v>1222.2920000000001</v>
      </c>
      <c r="H8"/>
      <c r="I8" s="7">
        <f t="shared" si="0"/>
        <v>0</v>
      </c>
      <c r="N8" t="s">
        <v>48</v>
      </c>
      <c r="O8" s="6">
        <v>0.22</v>
      </c>
      <c r="P8" s="15">
        <f>$N$4*Tabela25[[#This Row],[Peso]]</f>
        <v>672.26059999999995</v>
      </c>
      <c r="T8" s="26" t="s">
        <v>97</v>
      </c>
      <c r="U8" s="27" t="s">
        <v>99</v>
      </c>
      <c r="V8" s="30">
        <v>80</v>
      </c>
      <c r="W8" s="2">
        <v>45597</v>
      </c>
      <c r="AA8" s="10" t="s">
        <v>104</v>
      </c>
      <c r="AB8" s="34">
        <v>2059.85</v>
      </c>
      <c r="AD8" s="35" t="s">
        <v>111</v>
      </c>
      <c r="AE8" s="36">
        <v>813.58999999999992</v>
      </c>
    </row>
    <row r="9" spans="1:31" x14ac:dyDescent="0.3">
      <c r="H9"/>
      <c r="I9" s="7">
        <f t="shared" si="0"/>
        <v>0</v>
      </c>
      <c r="N9" t="s">
        <v>42</v>
      </c>
      <c r="O9" s="6">
        <v>0.01</v>
      </c>
      <c r="P9" s="15">
        <f>$N$4*Tabela25[[#This Row],[Peso]]</f>
        <v>30.557300000000001</v>
      </c>
      <c r="T9" s="26" t="s">
        <v>101</v>
      </c>
      <c r="U9" s="27" t="s">
        <v>100</v>
      </c>
      <c r="V9" s="30">
        <v>350</v>
      </c>
      <c r="W9" s="2">
        <v>45598</v>
      </c>
      <c r="AA9" s="10" t="s">
        <v>110</v>
      </c>
      <c r="AB9" s="34">
        <v>550</v>
      </c>
      <c r="AD9" s="10" t="s">
        <v>117</v>
      </c>
      <c r="AE9" s="34">
        <v>800</v>
      </c>
    </row>
    <row r="10" spans="1:31" x14ac:dyDescent="0.3">
      <c r="C10"/>
      <c r="H10"/>
      <c r="I10" s="7">
        <f t="shared" si="0"/>
        <v>0</v>
      </c>
      <c r="N10" t="s">
        <v>41</v>
      </c>
      <c r="O10" s="6">
        <v>0.35</v>
      </c>
      <c r="P10" s="15">
        <f>$N$4*Tabela25[[#This Row],[Peso]]</f>
        <v>1069.5055</v>
      </c>
      <c r="T10" s="26" t="s">
        <v>97</v>
      </c>
      <c r="U10" s="27" t="s">
        <v>99</v>
      </c>
      <c r="V10" s="30">
        <v>400</v>
      </c>
      <c r="W10" s="2">
        <v>45599</v>
      </c>
      <c r="AA10" s="10" t="s">
        <v>171</v>
      </c>
      <c r="AB10" s="34">
        <v>7889.85</v>
      </c>
      <c r="AD10" s="35" t="s">
        <v>101</v>
      </c>
      <c r="AE10" s="36">
        <v>700</v>
      </c>
    </row>
    <row r="11" spans="1:31" x14ac:dyDescent="0.3">
      <c r="C11"/>
      <c r="H11"/>
      <c r="I11" s="7">
        <f t="shared" si="0"/>
        <v>0</v>
      </c>
      <c r="T11" s="26" t="s">
        <v>102</v>
      </c>
      <c r="U11" s="27" t="s">
        <v>100</v>
      </c>
      <c r="V11" s="30">
        <v>194.14</v>
      </c>
      <c r="W11" s="2">
        <v>45599</v>
      </c>
      <c r="AD11" s="35" t="s">
        <v>121</v>
      </c>
      <c r="AE11" s="36">
        <v>544</v>
      </c>
    </row>
    <row r="12" spans="1:31" x14ac:dyDescent="0.3">
      <c r="C12"/>
      <c r="H12"/>
      <c r="I12" s="7">
        <f t="shared" si="0"/>
        <v>0</v>
      </c>
      <c r="T12" s="26" t="s">
        <v>103</v>
      </c>
      <c r="U12" s="27" t="s">
        <v>100</v>
      </c>
      <c r="V12" s="30">
        <v>32</v>
      </c>
      <c r="W12" s="2">
        <v>45599</v>
      </c>
      <c r="X12" t="s">
        <v>114</v>
      </c>
      <c r="AD12" s="35" t="s">
        <v>119</v>
      </c>
      <c r="AE12" s="36">
        <v>500</v>
      </c>
    </row>
    <row r="13" spans="1:31" x14ac:dyDescent="0.3">
      <c r="C13"/>
      <c r="H13"/>
      <c r="I13" s="7">
        <f t="shared" si="0"/>
        <v>0</v>
      </c>
      <c r="T13" s="26" t="s">
        <v>97</v>
      </c>
      <c r="U13" s="27" t="s">
        <v>99</v>
      </c>
      <c r="V13" s="30">
        <v>100</v>
      </c>
      <c r="W13" s="2">
        <v>45599</v>
      </c>
      <c r="AD13" s="35" t="s">
        <v>110</v>
      </c>
      <c r="AE13" s="36">
        <v>400</v>
      </c>
    </row>
    <row r="14" spans="1:31" x14ac:dyDescent="0.3">
      <c r="C14"/>
      <c r="H14"/>
      <c r="I14" s="7">
        <f t="shared" si="0"/>
        <v>0</v>
      </c>
      <c r="T14" s="26" t="s">
        <v>101</v>
      </c>
      <c r="U14" s="27" t="s">
        <v>100</v>
      </c>
      <c r="V14" s="30">
        <v>150</v>
      </c>
      <c r="W14" s="2">
        <v>45599</v>
      </c>
      <c r="AD14" s="10" t="s">
        <v>112</v>
      </c>
      <c r="AE14" s="34">
        <v>282.39999999999998</v>
      </c>
    </row>
    <row r="15" spans="1:31" x14ac:dyDescent="0.3">
      <c r="C15"/>
      <c r="H15"/>
      <c r="I15" s="7">
        <f t="shared" si="0"/>
        <v>0</v>
      </c>
      <c r="T15" s="26" t="s">
        <v>104</v>
      </c>
      <c r="U15" s="27" t="s">
        <v>99</v>
      </c>
      <c r="V15" s="30">
        <v>500</v>
      </c>
      <c r="W15" s="2">
        <v>45600</v>
      </c>
      <c r="AA15" s="39" t="s">
        <v>125</v>
      </c>
      <c r="AB15" s="40">
        <f>GETPIVOTDATA("valor",$AD$6,"descrição","Aplicação Reserva")-GETPIVOTDATA("valor",$AA$6,"descrição","Resgate Reserva")</f>
        <v>1349.15</v>
      </c>
      <c r="AD15" s="10" t="s">
        <v>118</v>
      </c>
      <c r="AE15" s="34">
        <v>249.25</v>
      </c>
    </row>
    <row r="16" spans="1:31" x14ac:dyDescent="0.3">
      <c r="C16"/>
      <c r="I16" s="7">
        <f t="shared" si="0"/>
        <v>0</v>
      </c>
      <c r="T16" s="26" t="s">
        <v>97</v>
      </c>
      <c r="U16" s="27" t="s">
        <v>99</v>
      </c>
      <c r="V16" s="30">
        <v>80</v>
      </c>
      <c r="W16" s="2">
        <v>45600</v>
      </c>
      <c r="AB16" s="10"/>
      <c r="AD16" s="10" t="s">
        <v>102</v>
      </c>
      <c r="AE16" s="34">
        <v>194.14</v>
      </c>
    </row>
    <row r="17" spans="1:31" x14ac:dyDescent="0.3">
      <c r="C17"/>
      <c r="I17" s="8">
        <f>SUM(I4:I16)</f>
        <v>61.114600000000003</v>
      </c>
      <c r="T17" s="26" t="s">
        <v>106</v>
      </c>
      <c r="U17" s="27" t="s">
        <v>100</v>
      </c>
      <c r="V17" s="30">
        <v>18</v>
      </c>
      <c r="W17" s="2">
        <v>45600</v>
      </c>
      <c r="AB17" s="10"/>
      <c r="AD17" s="35" t="s">
        <v>106</v>
      </c>
      <c r="AE17" s="36">
        <v>139</v>
      </c>
    </row>
    <row r="18" spans="1:31" x14ac:dyDescent="0.3">
      <c r="C18"/>
      <c r="T18" s="26" t="s">
        <v>106</v>
      </c>
      <c r="U18" s="27" t="s">
        <v>100</v>
      </c>
      <c r="V18" s="30">
        <v>21</v>
      </c>
      <c r="W18" s="2">
        <v>45600</v>
      </c>
      <c r="AA18" s="39" t="s">
        <v>127</v>
      </c>
      <c r="AB18" s="41">
        <f>SUM(AB9,AB7)</f>
        <v>5830</v>
      </c>
      <c r="AD18" s="10" t="s">
        <v>123</v>
      </c>
      <c r="AE18" s="34">
        <v>100</v>
      </c>
    </row>
    <row r="19" spans="1:31" x14ac:dyDescent="0.3">
      <c r="C19"/>
      <c r="T19" s="26" t="s">
        <v>97</v>
      </c>
      <c r="U19" s="27" t="s">
        <v>99</v>
      </c>
      <c r="V19" s="30">
        <v>80</v>
      </c>
      <c r="W19" s="2">
        <v>45600</v>
      </c>
      <c r="AA19" s="39" t="s">
        <v>128</v>
      </c>
      <c r="AB19" s="41">
        <f>SUM(AE8:AE25)</f>
        <v>5275.22</v>
      </c>
      <c r="AD19" s="10" t="s">
        <v>122</v>
      </c>
      <c r="AE19" s="34">
        <v>100</v>
      </c>
    </row>
    <row r="20" spans="1:31" x14ac:dyDescent="0.3">
      <c r="T20" s="26" t="s">
        <v>107</v>
      </c>
      <c r="U20" s="27" t="s">
        <v>100</v>
      </c>
      <c r="V20" s="30">
        <v>94.84</v>
      </c>
      <c r="W20" s="2">
        <v>45601</v>
      </c>
      <c r="AD20" s="10" t="s">
        <v>116</v>
      </c>
      <c r="AE20" s="34">
        <v>100</v>
      </c>
    </row>
    <row r="21" spans="1:31" x14ac:dyDescent="0.3">
      <c r="T21" s="26" t="s">
        <v>108</v>
      </c>
      <c r="U21" s="27" t="s">
        <v>100</v>
      </c>
      <c r="V21" s="30">
        <v>72</v>
      </c>
      <c r="W21" s="2">
        <v>45601</v>
      </c>
      <c r="AA21" s="39" t="s">
        <v>129</v>
      </c>
      <c r="AB21" s="41">
        <f>AB18-AB19</f>
        <v>554.77999999999975</v>
      </c>
      <c r="AD21" s="10" t="s">
        <v>109</v>
      </c>
      <c r="AE21" s="34">
        <v>96</v>
      </c>
    </row>
    <row r="22" spans="1:31" x14ac:dyDescent="0.3">
      <c r="T22" s="26" t="s">
        <v>97</v>
      </c>
      <c r="U22" s="27" t="s">
        <v>99</v>
      </c>
      <c r="V22" s="30">
        <v>100</v>
      </c>
      <c r="W22" s="2">
        <v>45601</v>
      </c>
      <c r="AB22" s="1">
        <v>0.1</v>
      </c>
      <c r="AD22" s="10" t="s">
        <v>107</v>
      </c>
      <c r="AE22" s="34">
        <v>94.84</v>
      </c>
    </row>
    <row r="23" spans="1:31" x14ac:dyDescent="0.3">
      <c r="A23" s="4" t="s">
        <v>19</v>
      </c>
      <c r="B23" t="s">
        <v>42</v>
      </c>
      <c r="C23" s="6">
        <f>VLOOKUP(B23,Tabela25[],2,0)</f>
        <v>0.01</v>
      </c>
      <c r="F23" s="4" t="s">
        <v>19</v>
      </c>
      <c r="G23" t="s">
        <v>34</v>
      </c>
      <c r="H23" s="6">
        <f>VLOOKUP(G23,Tabela25[],2,0)</f>
        <v>0.22</v>
      </c>
      <c r="T23" s="26" t="s">
        <v>109</v>
      </c>
      <c r="U23" s="27" t="s">
        <v>100</v>
      </c>
      <c r="V23" s="30">
        <v>96</v>
      </c>
      <c r="W23" s="2">
        <v>45602</v>
      </c>
      <c r="AD23" s="10" t="s">
        <v>108</v>
      </c>
      <c r="AE23" s="34">
        <v>72</v>
      </c>
    </row>
    <row r="24" spans="1:31" x14ac:dyDescent="0.3">
      <c r="B24" s="14">
        <f ca="1">O2</f>
        <v>45920</v>
      </c>
      <c r="D24" s="7" t="s">
        <v>46</v>
      </c>
      <c r="G24" s="14">
        <f ca="1">O2</f>
        <v>45920</v>
      </c>
      <c r="I24" s="7" t="s">
        <v>46</v>
      </c>
      <c r="T24" s="26" t="s">
        <v>110</v>
      </c>
      <c r="U24" s="27" t="s">
        <v>99</v>
      </c>
      <c r="V24" s="30">
        <v>300</v>
      </c>
      <c r="W24" s="2">
        <v>45602</v>
      </c>
      <c r="AA24" s="48" t="s">
        <v>126</v>
      </c>
      <c r="AB24" s="49"/>
      <c r="AD24" s="10" t="s">
        <v>98</v>
      </c>
      <c r="AE24" s="34">
        <v>50</v>
      </c>
    </row>
    <row r="25" spans="1:31" x14ac:dyDescent="0.3">
      <c r="A25" s="4" t="s">
        <v>45</v>
      </c>
      <c r="B25" s="4" t="s">
        <v>2</v>
      </c>
      <c r="C25" s="4" t="s">
        <v>3</v>
      </c>
      <c r="D25" s="7">
        <f>N4*O9</f>
        <v>30.557300000000001</v>
      </c>
      <c r="F25" s="4" t="s">
        <v>45</v>
      </c>
      <c r="G25" s="4" t="s">
        <v>2</v>
      </c>
      <c r="H25" s="4" t="s">
        <v>3</v>
      </c>
      <c r="I25" s="7">
        <f>N4*O8</f>
        <v>672.26059999999995</v>
      </c>
      <c r="T25" s="26" t="s">
        <v>111</v>
      </c>
      <c r="U25" s="27" t="s">
        <v>100</v>
      </c>
      <c r="V25" s="30">
        <v>368.34</v>
      </c>
      <c r="W25" s="2">
        <v>45602</v>
      </c>
      <c r="AA25" s="50"/>
      <c r="AB25" s="51"/>
      <c r="AD25" s="10" t="s">
        <v>120</v>
      </c>
      <c r="AE25" s="34">
        <v>40</v>
      </c>
    </row>
    <row r="26" spans="1:31" x14ac:dyDescent="0.3">
      <c r="A26" s="10" t="s">
        <v>43</v>
      </c>
      <c r="B26" s="11">
        <v>0.45</v>
      </c>
      <c r="C26" s="10">
        <v>116000</v>
      </c>
      <c r="D26" s="7">
        <f>$D$25*B26</f>
        <v>13.750785</v>
      </c>
      <c r="F26" s="10" t="s">
        <v>35</v>
      </c>
      <c r="G26" s="11">
        <v>0.05</v>
      </c>
      <c r="H26" s="10">
        <v>75</v>
      </c>
      <c r="I26" s="7">
        <f>$I$25*G26</f>
        <v>33.613030000000002</v>
      </c>
      <c r="J26" s="9">
        <f>I26/5.72</f>
        <v>5.8764038461538464</v>
      </c>
      <c r="K26" s="9">
        <f>J26/5.82</f>
        <v>1.0096913825006608</v>
      </c>
      <c r="L26" s="9">
        <f>K26/5.82</f>
        <v>0.17348649183860151</v>
      </c>
      <c r="T26" s="26" t="s">
        <v>112</v>
      </c>
      <c r="U26" s="27" t="s">
        <v>100</v>
      </c>
      <c r="V26" s="30">
        <v>282.39999999999998</v>
      </c>
      <c r="W26" s="2">
        <v>45602</v>
      </c>
      <c r="X26" t="s">
        <v>115</v>
      </c>
      <c r="AA26" s="37">
        <f>SUM(AE8,AE10:AE13,AE17)</f>
        <v>3096.59</v>
      </c>
      <c r="AB26" s="38"/>
      <c r="AD26" s="10" t="s">
        <v>171</v>
      </c>
      <c r="AE26" s="34">
        <v>8684.2200000000012</v>
      </c>
    </row>
    <row r="27" spans="1:31" x14ac:dyDescent="0.3">
      <c r="A27" s="10" t="s">
        <v>76</v>
      </c>
      <c r="B27" s="11">
        <v>0.1</v>
      </c>
      <c r="C27" s="10">
        <v>180</v>
      </c>
      <c r="D27" s="7">
        <f t="shared" ref="D27:D38" si="1">$D$25*B27</f>
        <v>3.0557300000000005</v>
      </c>
      <c r="F27" s="10" t="s">
        <v>33</v>
      </c>
      <c r="G27" s="11">
        <v>0.04</v>
      </c>
      <c r="H27" s="10">
        <v>77</v>
      </c>
      <c r="I27" s="7">
        <f t="shared" ref="I27:I38" si="2">$I$25*G27</f>
        <v>26.890423999999999</v>
      </c>
      <c r="J27" s="9">
        <f t="shared" ref="J27:J39" si="3">I27/5.72</f>
        <v>4.7011230769230767</v>
      </c>
      <c r="T27" s="26" t="s">
        <v>103</v>
      </c>
      <c r="U27" s="27" t="s">
        <v>100</v>
      </c>
      <c r="V27" s="30">
        <v>1000</v>
      </c>
      <c r="W27" s="32">
        <v>45602</v>
      </c>
      <c r="X27" t="s">
        <v>115</v>
      </c>
    </row>
    <row r="28" spans="1:31" x14ac:dyDescent="0.3">
      <c r="A28" s="10" t="s">
        <v>50</v>
      </c>
      <c r="B28" s="11">
        <v>0.2</v>
      </c>
      <c r="C28" s="10">
        <v>3875</v>
      </c>
      <c r="D28" s="7">
        <f t="shared" si="1"/>
        <v>6.111460000000001</v>
      </c>
      <c r="F28" s="10" t="s">
        <v>38</v>
      </c>
      <c r="G28" s="11">
        <v>0.16400000000000001</v>
      </c>
      <c r="H28" s="10">
        <v>235</v>
      </c>
      <c r="I28" s="7">
        <f t="shared" si="2"/>
        <v>110.2507384</v>
      </c>
      <c r="J28" s="9">
        <f t="shared" si="3"/>
        <v>19.274604615384618</v>
      </c>
      <c r="T28" s="26" t="s">
        <v>97</v>
      </c>
      <c r="U28" s="27" t="s">
        <v>99</v>
      </c>
      <c r="V28" s="30">
        <v>160</v>
      </c>
      <c r="W28" s="32">
        <v>45602</v>
      </c>
      <c r="X28" s="31"/>
    </row>
    <row r="29" spans="1:31" x14ac:dyDescent="0.3">
      <c r="A29" s="10" t="s">
        <v>161</v>
      </c>
      <c r="B29" s="11">
        <v>0.05</v>
      </c>
      <c r="C29" s="10">
        <v>284</v>
      </c>
      <c r="D29" s="7">
        <f t="shared" si="1"/>
        <v>1.5278650000000003</v>
      </c>
      <c r="F29" s="10" t="s">
        <v>57</v>
      </c>
      <c r="G29" s="11">
        <v>0.06</v>
      </c>
      <c r="H29" s="10">
        <v>1200</v>
      </c>
      <c r="I29" s="7">
        <f t="shared" si="2"/>
        <v>40.335635999999994</v>
      </c>
      <c r="J29" s="9">
        <f t="shared" si="3"/>
        <v>7.0516846153846142</v>
      </c>
      <c r="T29" s="26" t="s">
        <v>116</v>
      </c>
      <c r="U29" s="27" t="s">
        <v>100</v>
      </c>
      <c r="V29" s="30">
        <v>100</v>
      </c>
      <c r="W29" s="32">
        <v>45602</v>
      </c>
      <c r="X29" t="s">
        <v>115</v>
      </c>
    </row>
    <row r="30" spans="1:31" x14ac:dyDescent="0.3">
      <c r="A30" s="10" t="s">
        <v>132</v>
      </c>
      <c r="B30" s="11">
        <v>0.1</v>
      </c>
      <c r="C30" s="10">
        <v>11.76</v>
      </c>
      <c r="D30" s="7">
        <f t="shared" si="1"/>
        <v>3.0557300000000005</v>
      </c>
      <c r="F30" s="10" t="s">
        <v>61</v>
      </c>
      <c r="G30" s="11">
        <v>8.5400000000000004E-2</v>
      </c>
      <c r="H30" s="10">
        <v>74</v>
      </c>
      <c r="I30" s="7">
        <f t="shared" si="2"/>
        <v>57.411055239999996</v>
      </c>
      <c r="J30" s="9">
        <f t="shared" si="3"/>
        <v>10.036897769230769</v>
      </c>
      <c r="T30" s="26" t="s">
        <v>97</v>
      </c>
      <c r="U30" s="27" t="s">
        <v>99</v>
      </c>
      <c r="V30" s="30">
        <v>100</v>
      </c>
      <c r="W30" s="32">
        <v>45603</v>
      </c>
      <c r="X30" s="31"/>
    </row>
    <row r="31" spans="1:31" x14ac:dyDescent="0.3">
      <c r="A31" s="10" t="s">
        <v>173</v>
      </c>
      <c r="B31" s="11">
        <v>0.1</v>
      </c>
      <c r="C31" s="10">
        <v>5.52</v>
      </c>
      <c r="D31" s="7">
        <f>$D$25*B31</f>
        <v>3.0557300000000005</v>
      </c>
      <c r="F31" s="10" t="s">
        <v>63</v>
      </c>
      <c r="G31" s="11">
        <v>0.12</v>
      </c>
      <c r="H31" s="12">
        <v>56.68</v>
      </c>
      <c r="I31" s="7">
        <f t="shared" si="2"/>
        <v>80.671271999999988</v>
      </c>
      <c r="J31" s="9">
        <f t="shared" si="3"/>
        <v>14.103369230769228</v>
      </c>
      <c r="T31" s="26" t="s">
        <v>97</v>
      </c>
      <c r="U31" s="27" t="s">
        <v>99</v>
      </c>
      <c r="V31" s="30">
        <v>160</v>
      </c>
      <c r="W31" s="32">
        <v>45603</v>
      </c>
      <c r="X31" s="31"/>
    </row>
    <row r="32" spans="1:31" x14ac:dyDescent="0.3">
      <c r="A32" s="10" t="s">
        <v>171</v>
      </c>
      <c r="C32"/>
      <c r="D32" s="7">
        <f t="shared" si="1"/>
        <v>0</v>
      </c>
      <c r="F32" s="10" t="s">
        <v>65</v>
      </c>
      <c r="G32" s="11">
        <v>0.11</v>
      </c>
      <c r="H32" s="10">
        <v>60</v>
      </c>
      <c r="I32" s="7">
        <f t="shared" si="2"/>
        <v>73.948665999999989</v>
      </c>
      <c r="J32" s="9">
        <f t="shared" si="3"/>
        <v>12.92808846153846</v>
      </c>
      <c r="T32" s="26" t="s">
        <v>97</v>
      </c>
      <c r="U32" s="27" t="s">
        <v>99</v>
      </c>
      <c r="V32" s="30">
        <v>100</v>
      </c>
      <c r="W32" s="32">
        <v>45603</v>
      </c>
      <c r="X32" s="31"/>
    </row>
    <row r="33" spans="1:24" x14ac:dyDescent="0.3">
      <c r="C33"/>
      <c r="D33" s="7">
        <f t="shared" si="1"/>
        <v>0</v>
      </c>
      <c r="F33" s="10" t="s">
        <v>59</v>
      </c>
      <c r="G33" s="11">
        <v>0.05</v>
      </c>
      <c r="H33" s="10">
        <v>94</v>
      </c>
      <c r="I33" s="7">
        <f t="shared" si="2"/>
        <v>33.613030000000002</v>
      </c>
      <c r="J33" s="9">
        <f t="shared" si="3"/>
        <v>5.8764038461538464</v>
      </c>
      <c r="T33" s="26" t="s">
        <v>97</v>
      </c>
      <c r="U33" s="27" t="s">
        <v>99</v>
      </c>
      <c r="V33" s="30">
        <v>200</v>
      </c>
      <c r="W33" s="32">
        <v>45604</v>
      </c>
      <c r="X33" s="31"/>
    </row>
    <row r="34" spans="1:24" x14ac:dyDescent="0.3">
      <c r="C34"/>
      <c r="D34" s="7">
        <f t="shared" si="1"/>
        <v>0</v>
      </c>
      <c r="F34" s="10" t="s">
        <v>55</v>
      </c>
      <c r="G34" s="11">
        <v>0.09</v>
      </c>
      <c r="H34" s="10">
        <v>750</v>
      </c>
      <c r="I34" s="7">
        <f t="shared" si="2"/>
        <v>60.503453999999991</v>
      </c>
      <c r="J34" s="9">
        <f t="shared" si="3"/>
        <v>10.577526923076922</v>
      </c>
      <c r="T34" s="26" t="s">
        <v>97</v>
      </c>
      <c r="U34" s="27" t="s">
        <v>99</v>
      </c>
      <c r="V34" s="30">
        <v>160</v>
      </c>
      <c r="W34" s="32">
        <v>45604</v>
      </c>
      <c r="X34" s="31"/>
    </row>
    <row r="35" spans="1:24" x14ac:dyDescent="0.3">
      <c r="C35"/>
      <c r="D35" s="7">
        <f t="shared" si="1"/>
        <v>0</v>
      </c>
      <c r="F35" s="10" t="s">
        <v>133</v>
      </c>
      <c r="G35" s="11">
        <v>0.15</v>
      </c>
      <c r="H35" s="10">
        <v>0</v>
      </c>
      <c r="I35" s="7">
        <f t="shared" si="2"/>
        <v>100.83908999999998</v>
      </c>
      <c r="J35" s="9">
        <f>I35/5.72</f>
        <v>17.629211538461536</v>
      </c>
      <c r="T35" s="26" t="s">
        <v>97</v>
      </c>
      <c r="U35" s="27" t="s">
        <v>99</v>
      </c>
      <c r="V35" s="30">
        <v>80</v>
      </c>
      <c r="W35" s="32">
        <v>45606</v>
      </c>
      <c r="X35" s="31"/>
    </row>
    <row r="36" spans="1:24" x14ac:dyDescent="0.3">
      <c r="C36"/>
      <c r="D36" s="7">
        <f t="shared" si="1"/>
        <v>0</v>
      </c>
      <c r="F36" s="10" t="s">
        <v>155</v>
      </c>
      <c r="G36" s="11">
        <v>0.04</v>
      </c>
      <c r="H36" s="10">
        <v>86</v>
      </c>
      <c r="I36" s="7">
        <f t="shared" si="2"/>
        <v>26.890423999999999</v>
      </c>
      <c r="J36" s="9">
        <f t="shared" si="3"/>
        <v>4.7011230769230767</v>
      </c>
      <c r="T36" s="26" t="s">
        <v>97</v>
      </c>
      <c r="U36" s="27" t="s">
        <v>99</v>
      </c>
      <c r="V36" s="30">
        <v>100</v>
      </c>
      <c r="W36" s="32">
        <v>45606</v>
      </c>
      <c r="X36" s="31"/>
    </row>
    <row r="37" spans="1:24" x14ac:dyDescent="0.3">
      <c r="D37" s="7">
        <f t="shared" si="1"/>
        <v>0</v>
      </c>
      <c r="F37" s="10" t="s">
        <v>176</v>
      </c>
      <c r="G37" s="11">
        <v>0.05</v>
      </c>
      <c r="H37" s="10">
        <v>63</v>
      </c>
      <c r="I37" s="7">
        <f t="shared" si="2"/>
        <v>33.613030000000002</v>
      </c>
      <c r="J37" s="9">
        <f t="shared" si="3"/>
        <v>5.8764038461538464</v>
      </c>
      <c r="T37" s="26" t="s">
        <v>97</v>
      </c>
      <c r="U37" s="27" t="s">
        <v>99</v>
      </c>
      <c r="V37" s="30">
        <v>80</v>
      </c>
      <c r="W37" s="32">
        <v>45606</v>
      </c>
      <c r="X37" s="31"/>
    </row>
    <row r="38" spans="1:24" x14ac:dyDescent="0.3">
      <c r="D38" s="7">
        <f t="shared" si="1"/>
        <v>0</v>
      </c>
      <c r="F38" s="12" t="s">
        <v>171</v>
      </c>
      <c r="G38" s="9"/>
      <c r="H38" s="9"/>
      <c r="I38" s="7">
        <f t="shared" si="2"/>
        <v>0</v>
      </c>
      <c r="J38" s="9">
        <f t="shared" si="3"/>
        <v>0</v>
      </c>
      <c r="T38" s="26" t="s">
        <v>97</v>
      </c>
      <c r="U38" s="27" t="s">
        <v>99</v>
      </c>
      <c r="V38" s="30">
        <v>80</v>
      </c>
      <c r="W38" s="32">
        <v>45607</v>
      </c>
      <c r="X38" s="31"/>
    </row>
    <row r="39" spans="1:24" x14ac:dyDescent="0.3">
      <c r="D39" s="8">
        <f>SUM(D26:D38)</f>
        <v>30.557300000000005</v>
      </c>
      <c r="I39" s="8">
        <f>SUM(I26:I38)</f>
        <v>678.57984963999991</v>
      </c>
      <c r="J39" s="9">
        <f t="shared" si="3"/>
        <v>118.63284084615384</v>
      </c>
      <c r="T39" s="26" t="s">
        <v>104</v>
      </c>
      <c r="U39" s="27" t="s">
        <v>99</v>
      </c>
      <c r="V39" s="30">
        <v>1059</v>
      </c>
      <c r="W39" s="32">
        <v>45608</v>
      </c>
      <c r="X39" s="31"/>
    </row>
    <row r="40" spans="1:24" x14ac:dyDescent="0.3">
      <c r="T40" s="26" t="s">
        <v>97</v>
      </c>
      <c r="U40" s="27" t="s">
        <v>99</v>
      </c>
      <c r="V40" s="30">
        <v>100</v>
      </c>
      <c r="W40" s="32">
        <v>45608</v>
      </c>
      <c r="X40" s="31"/>
    </row>
    <row r="41" spans="1:24" x14ac:dyDescent="0.3">
      <c r="T41" s="26" t="s">
        <v>97</v>
      </c>
      <c r="U41" s="27" t="s">
        <v>99</v>
      </c>
      <c r="V41" s="30">
        <v>160</v>
      </c>
      <c r="W41" s="32">
        <v>45608</v>
      </c>
      <c r="X41" s="31"/>
    </row>
    <row r="42" spans="1:24" x14ac:dyDescent="0.3">
      <c r="F42" s="24" t="s">
        <v>19</v>
      </c>
      <c r="G42" s="24" t="s">
        <v>34</v>
      </c>
      <c r="H42" s="7">
        <v>0.22</v>
      </c>
      <c r="I42" s="24"/>
      <c r="J42" s="24"/>
      <c r="T42" s="26" t="s">
        <v>103</v>
      </c>
      <c r="U42" s="27" t="s">
        <v>100</v>
      </c>
      <c r="V42" s="30">
        <v>27</v>
      </c>
      <c r="W42" s="32">
        <v>45608</v>
      </c>
      <c r="X42" t="s">
        <v>115</v>
      </c>
    </row>
    <row r="43" spans="1:24" x14ac:dyDescent="0.3">
      <c r="F43" s="24"/>
      <c r="G43" s="24">
        <v>45709</v>
      </c>
      <c r="H43" s="7"/>
      <c r="I43" s="24" t="s">
        <v>46</v>
      </c>
      <c r="J43" s="24"/>
      <c r="T43" s="26" t="s">
        <v>103</v>
      </c>
      <c r="U43" s="27" t="s">
        <v>100</v>
      </c>
      <c r="V43" s="30">
        <v>2350</v>
      </c>
      <c r="W43" s="32">
        <v>45609</v>
      </c>
      <c r="X43" t="s">
        <v>115</v>
      </c>
    </row>
    <row r="44" spans="1:24" x14ac:dyDescent="0.3">
      <c r="F44" s="24" t="s">
        <v>45</v>
      </c>
      <c r="G44" s="24" t="s">
        <v>2</v>
      </c>
      <c r="H44" s="7" t="s">
        <v>3</v>
      </c>
      <c r="I44" s="44">
        <v>672.26059999999995</v>
      </c>
      <c r="J44" s="45">
        <f t="shared" ref="J44:J49" si="4">I44/5.72</f>
        <v>117.52807692307692</v>
      </c>
      <c r="T44" s="26" t="s">
        <v>117</v>
      </c>
      <c r="U44" s="27" t="s">
        <v>100</v>
      </c>
      <c r="V44" s="30">
        <v>800</v>
      </c>
      <c r="W44" s="32">
        <v>45609</v>
      </c>
      <c r="X44" s="31"/>
    </row>
    <row r="45" spans="1:24" x14ac:dyDescent="0.3">
      <c r="C45" s="6"/>
      <c r="F45" s="24" t="s">
        <v>35</v>
      </c>
      <c r="G45" s="43">
        <v>0.25</v>
      </c>
      <c r="H45" s="7">
        <v>27.22</v>
      </c>
      <c r="I45" s="44">
        <f>$I$44*G45</f>
        <v>168.06514999999999</v>
      </c>
      <c r="J45" s="45">
        <f t="shared" si="4"/>
        <v>29.382019230769231</v>
      </c>
      <c r="T45" s="26" t="s">
        <v>110</v>
      </c>
      <c r="U45" s="27" t="s">
        <v>99</v>
      </c>
      <c r="V45" s="30">
        <v>250</v>
      </c>
      <c r="W45" s="32">
        <v>45610</v>
      </c>
      <c r="X45" s="31"/>
    </row>
    <row r="46" spans="1:24" x14ac:dyDescent="0.3">
      <c r="A46" s="24" t="s">
        <v>19</v>
      </c>
      <c r="B46" s="24" t="s">
        <v>41</v>
      </c>
      <c r="C46" s="43">
        <v>0.35</v>
      </c>
      <c r="D46" s="24"/>
      <c r="F46" s="24" t="s">
        <v>57</v>
      </c>
      <c r="G46" s="43">
        <v>0.25</v>
      </c>
      <c r="H46" s="7">
        <v>756.1</v>
      </c>
      <c r="I46" s="44">
        <f>$I$44*G46</f>
        <v>168.06514999999999</v>
      </c>
      <c r="J46" s="45">
        <f t="shared" si="4"/>
        <v>29.382019230769231</v>
      </c>
      <c r="T46" s="26" t="s">
        <v>118</v>
      </c>
      <c r="U46" s="27" t="s">
        <v>100</v>
      </c>
      <c r="V46" s="30">
        <v>249.25</v>
      </c>
      <c r="W46" s="32">
        <v>45610</v>
      </c>
      <c r="X46" s="31"/>
    </row>
    <row r="47" spans="1:24" x14ac:dyDescent="0.3">
      <c r="A47" s="24"/>
      <c r="B47" s="24">
        <v>0.01</v>
      </c>
      <c r="C47" s="7"/>
      <c r="D47" s="24" t="s">
        <v>46</v>
      </c>
      <c r="F47" s="24" t="s">
        <v>55</v>
      </c>
      <c r="G47" s="43">
        <v>0.25</v>
      </c>
      <c r="H47" s="7">
        <v>567.16</v>
      </c>
      <c r="I47" s="44">
        <f>$I$44*G47</f>
        <v>168.06514999999999</v>
      </c>
      <c r="J47" s="45">
        <f t="shared" si="4"/>
        <v>29.382019230769231</v>
      </c>
      <c r="T47" s="26" t="s">
        <v>104</v>
      </c>
      <c r="U47" s="27" t="s">
        <v>99</v>
      </c>
      <c r="V47" s="30">
        <v>347</v>
      </c>
      <c r="W47" s="32">
        <v>45610</v>
      </c>
      <c r="X47" s="31"/>
    </row>
    <row r="48" spans="1:24" x14ac:dyDescent="0.3">
      <c r="A48" s="24" t="s">
        <v>45</v>
      </c>
      <c r="B48" s="24" t="s">
        <v>2</v>
      </c>
      <c r="C48" s="7" t="s">
        <v>3</v>
      </c>
      <c r="D48" s="7">
        <v>1069.5055</v>
      </c>
      <c r="F48" s="24" t="s">
        <v>133</v>
      </c>
      <c r="G48" s="43">
        <v>0.25</v>
      </c>
      <c r="H48" s="7">
        <v>0</v>
      </c>
      <c r="I48" s="44">
        <f>$I$44*G48</f>
        <v>168.06514999999999</v>
      </c>
      <c r="J48" s="45">
        <f t="shared" si="4"/>
        <v>29.382019230769231</v>
      </c>
      <c r="T48" s="26" t="s">
        <v>104</v>
      </c>
      <c r="U48" s="27" t="s">
        <v>99</v>
      </c>
      <c r="V48" s="30">
        <v>153</v>
      </c>
      <c r="W48" s="32">
        <v>45610</v>
      </c>
      <c r="X48" s="31"/>
    </row>
    <row r="49" spans="1:24" x14ac:dyDescent="0.3">
      <c r="A49" s="24" t="s">
        <v>158</v>
      </c>
      <c r="B49" s="24">
        <v>95.73</v>
      </c>
      <c r="C49" s="7" t="s">
        <v>159</v>
      </c>
      <c r="D49" s="7">
        <v>1024.8399999999999</v>
      </c>
      <c r="F49" s="24"/>
      <c r="G49" s="24"/>
      <c r="H49" s="7"/>
      <c r="I49" s="44">
        <v>671.85724363999998</v>
      </c>
      <c r="J49" s="45">
        <f t="shared" si="4"/>
        <v>117.45756007692307</v>
      </c>
      <c r="T49" s="26" t="s">
        <v>104</v>
      </c>
      <c r="U49" s="27" t="s">
        <v>99</v>
      </c>
      <c r="V49" s="30">
        <v>0.85</v>
      </c>
      <c r="W49" s="32">
        <v>45610</v>
      </c>
      <c r="X49" s="31"/>
    </row>
    <row r="50" spans="1:24" x14ac:dyDescent="0.3">
      <c r="A50" s="24" t="s">
        <v>160</v>
      </c>
      <c r="B50" s="24">
        <v>4.21</v>
      </c>
      <c r="C50" s="7" t="s">
        <v>159</v>
      </c>
      <c r="D50" s="7">
        <v>45</v>
      </c>
      <c r="H50"/>
      <c r="T50" s="26" t="s">
        <v>97</v>
      </c>
      <c r="U50" s="27" t="s">
        <v>99</v>
      </c>
      <c r="V50" s="30">
        <v>80</v>
      </c>
      <c r="W50" s="32">
        <v>45610</v>
      </c>
      <c r="X50" s="31"/>
    </row>
    <row r="51" spans="1:24" x14ac:dyDescent="0.3">
      <c r="A51" s="24" t="s">
        <v>45</v>
      </c>
      <c r="B51" s="24"/>
      <c r="C51" s="7"/>
      <c r="D51" s="7">
        <f>SUM(D49:D50)</f>
        <v>1069.8399999999999</v>
      </c>
      <c r="H51"/>
      <c r="T51" s="26" t="s">
        <v>97</v>
      </c>
      <c r="U51" s="27" t="s">
        <v>99</v>
      </c>
      <c r="V51" s="30">
        <v>160</v>
      </c>
      <c r="W51" s="32">
        <v>45613</v>
      </c>
      <c r="X51" s="31"/>
    </row>
    <row r="52" spans="1:24" x14ac:dyDescent="0.3">
      <c r="H52"/>
      <c r="T52" s="26" t="s">
        <v>97</v>
      </c>
      <c r="U52" s="27" t="s">
        <v>99</v>
      </c>
      <c r="V52" s="30">
        <v>100</v>
      </c>
      <c r="W52" s="32">
        <v>45613</v>
      </c>
      <c r="X52" s="31"/>
    </row>
    <row r="53" spans="1:24" x14ac:dyDescent="0.3">
      <c r="H53"/>
      <c r="T53" s="26" t="s">
        <v>97</v>
      </c>
      <c r="U53" s="27" t="s">
        <v>99</v>
      </c>
      <c r="V53" s="30">
        <v>100</v>
      </c>
      <c r="W53" s="32">
        <v>45614</v>
      </c>
      <c r="X53" s="31"/>
    </row>
    <row r="54" spans="1:24" x14ac:dyDescent="0.3">
      <c r="H54"/>
      <c r="T54" s="26" t="s">
        <v>101</v>
      </c>
      <c r="U54" s="27" t="s">
        <v>100</v>
      </c>
      <c r="V54" s="30">
        <v>200</v>
      </c>
      <c r="W54" s="32">
        <v>45614</v>
      </c>
      <c r="X54" s="31"/>
    </row>
    <row r="55" spans="1:24" x14ac:dyDescent="0.3">
      <c r="H55"/>
      <c r="T55" s="26" t="s">
        <v>110</v>
      </c>
      <c r="U55" s="27" t="s">
        <v>100</v>
      </c>
      <c r="V55" s="30">
        <v>300</v>
      </c>
      <c r="W55" s="32">
        <v>45614</v>
      </c>
      <c r="X55" s="31"/>
    </row>
    <row r="56" spans="1:24" x14ac:dyDescent="0.3">
      <c r="H56"/>
      <c r="T56" s="26" t="s">
        <v>97</v>
      </c>
      <c r="U56" s="27" t="s">
        <v>99</v>
      </c>
      <c r="V56" s="30">
        <v>80</v>
      </c>
      <c r="W56" s="32">
        <v>45614</v>
      </c>
      <c r="X56" s="31"/>
    </row>
    <row r="57" spans="1:24" x14ac:dyDescent="0.3">
      <c r="H57"/>
      <c r="T57" s="26" t="s">
        <v>97</v>
      </c>
      <c r="U57" s="27" t="s">
        <v>99</v>
      </c>
      <c r="V57" s="30">
        <v>80</v>
      </c>
      <c r="W57" s="32">
        <v>45614</v>
      </c>
      <c r="X57" s="31"/>
    </row>
    <row r="58" spans="1:24" x14ac:dyDescent="0.3">
      <c r="H58"/>
      <c r="T58" s="26" t="s">
        <v>97</v>
      </c>
      <c r="U58" s="27" t="s">
        <v>99</v>
      </c>
      <c r="V58" s="30">
        <v>100</v>
      </c>
      <c r="W58" s="32">
        <v>45615</v>
      </c>
      <c r="X58" s="31"/>
    </row>
    <row r="59" spans="1:24" x14ac:dyDescent="0.3">
      <c r="T59" s="26" t="s">
        <v>97</v>
      </c>
      <c r="U59" s="27" t="s">
        <v>99</v>
      </c>
      <c r="V59" s="30">
        <v>100</v>
      </c>
      <c r="W59" s="32">
        <v>45615</v>
      </c>
      <c r="X59" s="31"/>
    </row>
    <row r="60" spans="1:24" x14ac:dyDescent="0.3">
      <c r="T60" s="26" t="s">
        <v>97</v>
      </c>
      <c r="U60" s="27" t="s">
        <v>99</v>
      </c>
      <c r="V60" s="30">
        <v>100</v>
      </c>
      <c r="W60" s="32">
        <v>45615</v>
      </c>
      <c r="X60" s="31"/>
    </row>
    <row r="61" spans="1:24" x14ac:dyDescent="0.3">
      <c r="T61" s="26" t="s">
        <v>119</v>
      </c>
      <c r="U61" s="27" t="s">
        <v>100</v>
      </c>
      <c r="V61" s="30">
        <v>500</v>
      </c>
      <c r="W61" s="32">
        <v>45615</v>
      </c>
      <c r="X61" s="31"/>
    </row>
    <row r="62" spans="1:24" x14ac:dyDescent="0.3">
      <c r="T62" s="26" t="s">
        <v>111</v>
      </c>
      <c r="U62" s="27" t="s">
        <v>100</v>
      </c>
      <c r="V62" s="30">
        <v>180.15</v>
      </c>
      <c r="W62" s="32">
        <v>45617</v>
      </c>
      <c r="X62" s="31"/>
    </row>
    <row r="63" spans="1:24" x14ac:dyDescent="0.3">
      <c r="T63" s="26" t="s">
        <v>97</v>
      </c>
      <c r="U63" s="27" t="s">
        <v>99</v>
      </c>
      <c r="V63" s="30">
        <v>100</v>
      </c>
      <c r="W63" s="32">
        <v>45618</v>
      </c>
      <c r="X63" s="31"/>
    </row>
    <row r="64" spans="1:24" x14ac:dyDescent="0.3">
      <c r="T64" s="26" t="s">
        <v>106</v>
      </c>
      <c r="U64" s="27" t="s">
        <v>100</v>
      </c>
      <c r="V64" s="30">
        <v>100</v>
      </c>
      <c r="W64" s="32">
        <v>45618</v>
      </c>
      <c r="X64" s="31"/>
    </row>
    <row r="65" spans="20:24" x14ac:dyDescent="0.3">
      <c r="T65" s="26" t="s">
        <v>97</v>
      </c>
      <c r="U65" s="27" t="s">
        <v>99</v>
      </c>
      <c r="V65" s="30">
        <v>100</v>
      </c>
      <c r="W65" s="32">
        <v>45618</v>
      </c>
      <c r="X65" s="31"/>
    </row>
    <row r="66" spans="20:24" x14ac:dyDescent="0.3">
      <c r="T66" s="26" t="s">
        <v>97</v>
      </c>
      <c r="U66" s="27" t="s">
        <v>99</v>
      </c>
      <c r="V66" s="30">
        <v>80</v>
      </c>
      <c r="W66" s="32">
        <v>45620</v>
      </c>
      <c r="X66" s="31"/>
    </row>
    <row r="67" spans="20:24" x14ac:dyDescent="0.3">
      <c r="T67" s="26" t="s">
        <v>120</v>
      </c>
      <c r="U67" s="27" t="s">
        <v>100</v>
      </c>
      <c r="V67" s="30">
        <v>40</v>
      </c>
      <c r="W67" s="32">
        <v>45620</v>
      </c>
      <c r="X67" s="31"/>
    </row>
    <row r="68" spans="20:24" x14ac:dyDescent="0.3">
      <c r="T68" s="26" t="s">
        <v>97</v>
      </c>
      <c r="U68" s="27" t="s">
        <v>99</v>
      </c>
      <c r="V68" s="30">
        <v>100</v>
      </c>
      <c r="W68" s="32">
        <v>45620</v>
      </c>
      <c r="X68" s="31"/>
    </row>
    <row r="69" spans="20:24" x14ac:dyDescent="0.3">
      <c r="T69" s="26" t="s">
        <v>97</v>
      </c>
      <c r="U69" s="27" t="s">
        <v>99</v>
      </c>
      <c r="V69" s="30">
        <v>100</v>
      </c>
      <c r="W69" s="32">
        <v>45621</v>
      </c>
      <c r="X69" s="31"/>
    </row>
    <row r="70" spans="20:24" x14ac:dyDescent="0.3">
      <c r="T70" s="26" t="s">
        <v>97</v>
      </c>
      <c r="U70" s="27" t="s">
        <v>99</v>
      </c>
      <c r="V70" s="30">
        <v>80</v>
      </c>
      <c r="W70" s="32">
        <v>45621</v>
      </c>
      <c r="X70" s="31"/>
    </row>
    <row r="71" spans="20:24" x14ac:dyDescent="0.3">
      <c r="T71" s="26" t="s">
        <v>97</v>
      </c>
      <c r="U71" s="27" t="s">
        <v>99</v>
      </c>
      <c r="V71" s="30">
        <v>80</v>
      </c>
      <c r="W71" s="32">
        <v>45621</v>
      </c>
      <c r="X71" s="31"/>
    </row>
    <row r="72" spans="20:24" x14ac:dyDescent="0.3">
      <c r="T72" s="26" t="s">
        <v>121</v>
      </c>
      <c r="U72" s="27" t="s">
        <v>100</v>
      </c>
      <c r="V72" s="30">
        <v>544</v>
      </c>
      <c r="W72" s="32">
        <v>45622</v>
      </c>
      <c r="X72" s="31"/>
    </row>
    <row r="73" spans="20:24" x14ac:dyDescent="0.3">
      <c r="T73" s="26" t="s">
        <v>97</v>
      </c>
      <c r="U73" s="27" t="s">
        <v>99</v>
      </c>
      <c r="V73" s="30">
        <v>100</v>
      </c>
      <c r="W73" s="32">
        <v>45622</v>
      </c>
      <c r="X73" s="31"/>
    </row>
    <row r="74" spans="20:24" x14ac:dyDescent="0.3">
      <c r="T74" s="26" t="s">
        <v>97</v>
      </c>
      <c r="U74" s="27" t="s">
        <v>99</v>
      </c>
      <c r="V74" s="30">
        <v>100</v>
      </c>
      <c r="W74" s="32">
        <v>45622</v>
      </c>
      <c r="X74" s="31"/>
    </row>
    <row r="75" spans="20:24" x14ac:dyDescent="0.3">
      <c r="T75" s="26" t="s">
        <v>97</v>
      </c>
      <c r="U75" s="27" t="s">
        <v>99</v>
      </c>
      <c r="V75" s="30">
        <v>100</v>
      </c>
      <c r="W75" s="32">
        <v>45622</v>
      </c>
      <c r="X75" s="31"/>
    </row>
    <row r="76" spans="20:24" x14ac:dyDescent="0.3">
      <c r="T76" s="26" t="s">
        <v>97</v>
      </c>
      <c r="U76" s="27" t="s">
        <v>99</v>
      </c>
      <c r="V76" s="30">
        <v>100</v>
      </c>
      <c r="W76" s="32">
        <v>45622</v>
      </c>
      <c r="X76" s="31"/>
    </row>
    <row r="77" spans="20:24" x14ac:dyDescent="0.3">
      <c r="T77" s="26" t="s">
        <v>97</v>
      </c>
      <c r="U77" s="27" t="s">
        <v>99</v>
      </c>
      <c r="V77" s="30">
        <v>300</v>
      </c>
      <c r="W77" s="32">
        <v>45623</v>
      </c>
      <c r="X77" s="31"/>
    </row>
    <row r="78" spans="20:24" x14ac:dyDescent="0.3">
      <c r="T78" s="26" t="s">
        <v>97</v>
      </c>
      <c r="U78" s="27" t="s">
        <v>99</v>
      </c>
      <c r="V78" s="30">
        <v>80</v>
      </c>
      <c r="W78" s="32">
        <v>45623</v>
      </c>
      <c r="X78" s="31"/>
    </row>
    <row r="79" spans="20:24" x14ac:dyDescent="0.3">
      <c r="T79" s="26" t="s">
        <v>97</v>
      </c>
      <c r="U79" s="27" t="s">
        <v>99</v>
      </c>
      <c r="V79" s="30">
        <v>100</v>
      </c>
      <c r="W79" s="32">
        <v>45623</v>
      </c>
      <c r="X79" s="31"/>
    </row>
    <row r="80" spans="20:24" x14ac:dyDescent="0.3">
      <c r="T80" s="26" t="s">
        <v>97</v>
      </c>
      <c r="U80" s="27" t="s">
        <v>99</v>
      </c>
      <c r="V80" s="30">
        <v>80</v>
      </c>
      <c r="W80" s="32">
        <v>45623</v>
      </c>
      <c r="X80" s="31"/>
    </row>
    <row r="81" spans="20:24" x14ac:dyDescent="0.3">
      <c r="T81" s="26" t="s">
        <v>122</v>
      </c>
      <c r="U81" s="27" t="s">
        <v>100</v>
      </c>
      <c r="V81" s="30">
        <v>100</v>
      </c>
      <c r="W81" s="32">
        <v>45624</v>
      </c>
      <c r="X81" s="31"/>
    </row>
    <row r="82" spans="20:24" x14ac:dyDescent="0.3">
      <c r="T82" s="26" t="s">
        <v>111</v>
      </c>
      <c r="U82" s="27" t="s">
        <v>100</v>
      </c>
      <c r="V82" s="30">
        <v>265.10000000000002</v>
      </c>
      <c r="W82" s="32">
        <v>45624</v>
      </c>
      <c r="X82" s="31"/>
    </row>
    <row r="83" spans="20:24" x14ac:dyDescent="0.3">
      <c r="T83" s="26" t="s">
        <v>110</v>
      </c>
      <c r="U83" s="27" t="s">
        <v>100</v>
      </c>
      <c r="V83" s="30">
        <v>100</v>
      </c>
      <c r="W83" s="32">
        <v>45625</v>
      </c>
      <c r="X83" s="31"/>
    </row>
    <row r="84" spans="20:24" x14ac:dyDescent="0.3">
      <c r="T84" s="26" t="s">
        <v>97</v>
      </c>
      <c r="U84" s="27" t="s">
        <v>99</v>
      </c>
      <c r="V84" s="30">
        <v>100</v>
      </c>
      <c r="W84" s="32">
        <v>45625</v>
      </c>
      <c r="X84" s="31"/>
    </row>
    <row r="85" spans="20:24" x14ac:dyDescent="0.3">
      <c r="T85" s="26" t="s">
        <v>97</v>
      </c>
      <c r="U85" s="27" t="s">
        <v>99</v>
      </c>
      <c r="V85" s="30">
        <v>80</v>
      </c>
      <c r="W85" s="32">
        <v>45625</v>
      </c>
      <c r="X85" s="31"/>
    </row>
    <row r="86" spans="20:24" x14ac:dyDescent="0.3">
      <c r="T86" s="26" t="s">
        <v>123</v>
      </c>
      <c r="U86" s="27" t="s">
        <v>100</v>
      </c>
      <c r="V86" s="30">
        <v>100</v>
      </c>
      <c r="W86" s="32">
        <v>45626</v>
      </c>
      <c r="X86" s="31"/>
    </row>
  </sheetData>
  <mergeCells count="3">
    <mergeCell ref="N4:O4"/>
    <mergeCell ref="T1:V1"/>
    <mergeCell ref="AA24:AB25"/>
  </mergeCells>
  <pageMargins left="0.511811024" right="0.511811024" top="0.78740157499999996" bottom="0.78740157499999996" header="0.31496062000000002" footer="0.31496062000000002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2</vt:i4>
      </vt:variant>
    </vt:vector>
  </HeadingPairs>
  <TitlesOfParts>
    <vt:vector size="4" baseType="lpstr">
      <vt:lpstr>BASE</vt:lpstr>
      <vt:lpstr>realoc rosa</vt:lpstr>
      <vt:lpstr>Grafico2</vt:lpstr>
      <vt:lpstr>Grafico1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Nunes Recalchi</dc:creator>
  <cp:lastModifiedBy>Renan Nunes Recalchi</cp:lastModifiedBy>
  <dcterms:created xsi:type="dcterms:W3CDTF">2015-06-05T18:19:34Z</dcterms:created>
  <dcterms:modified xsi:type="dcterms:W3CDTF">2025-09-20T11:55:50Z</dcterms:modified>
</cp:coreProperties>
</file>