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e\Downloads\"/>
    </mc:Choice>
  </mc:AlternateContent>
  <xr:revisionPtr revIDLastSave="0" documentId="13_ncr:1_{7D1A0D27-C845-43AF-9FAA-29F160629519}" xr6:coauthVersionLast="47" xr6:coauthVersionMax="47" xr10:uidLastSave="{00000000-0000-0000-0000-000000000000}"/>
  <bookViews>
    <workbookView xWindow="5370" yWindow="2790" windowWidth="23730" windowHeight="10530" xr2:uid="{B335800B-1261-4F88-B6B2-6E85E121EEDE}"/>
  </bookViews>
  <sheets>
    <sheet name="Bristol" sheetId="1" r:id="rId1"/>
    <sheet name="Donaghadee" sheetId="2" r:id="rId2"/>
    <sheet name="Averaged Bristol Preds" sheetId="5" r:id="rId3"/>
    <sheet name="Bristol Preds Attempt 1" sheetId="3" r:id="rId4"/>
    <sheet name="Donaghadee Preds 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D36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5" i="2"/>
  <c r="D34" i="2"/>
  <c r="D33" i="2"/>
  <c r="D32" i="2"/>
  <c r="D31" i="2"/>
  <c r="D30" i="2"/>
  <c r="D29" i="2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N4" i="1"/>
  <c r="N3" i="1"/>
  <c r="N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3" i="1"/>
  <c r="P3" i="1" s="1"/>
  <c r="O4" i="1"/>
  <c r="P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K2" i="4"/>
  <c r="K2" i="3"/>
  <c r="S2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4" i="4"/>
  <c r="J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4" i="4"/>
  <c r="I3" i="4"/>
  <c r="I2" i="3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" i="3"/>
  <c r="Q2" i="3"/>
  <c r="B21" i="3"/>
  <c r="R21" i="3" s="1"/>
  <c r="D21" i="1"/>
  <c r="J21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" i="1"/>
  <c r="D5" i="1"/>
  <c r="F5" i="1" s="1"/>
  <c r="D8" i="1"/>
  <c r="D6" i="1"/>
  <c r="F6" i="1" s="1"/>
  <c r="D4" i="1"/>
  <c r="D3" i="1"/>
  <c r="D2" i="1"/>
  <c r="F3" i="1"/>
  <c r="G3" i="1" s="1"/>
  <c r="F4" i="1"/>
  <c r="G4" i="1" s="1"/>
  <c r="F7" i="1"/>
  <c r="G7" i="1" s="1"/>
  <c r="F8" i="1"/>
  <c r="G8" i="1" s="1"/>
  <c r="F9" i="1"/>
  <c r="G9" i="1"/>
  <c r="H9" i="1"/>
  <c r="F10" i="1"/>
  <c r="G10" i="1" s="1"/>
  <c r="F11" i="1"/>
  <c r="G11" i="1" s="1"/>
  <c r="F12" i="1"/>
  <c r="G12" i="1" s="1"/>
  <c r="F13" i="1"/>
  <c r="H13" i="1" s="1"/>
  <c r="G13" i="1"/>
  <c r="F14" i="1"/>
  <c r="G14" i="1" s="1"/>
  <c r="H14" i="1"/>
  <c r="F15" i="1"/>
  <c r="G15" i="1" s="1"/>
  <c r="H15" i="1"/>
  <c r="F16" i="1"/>
  <c r="G16" i="1" s="1"/>
  <c r="F17" i="1"/>
  <c r="G17" i="1"/>
  <c r="H17" i="1"/>
  <c r="F18" i="1"/>
  <c r="G18" i="1"/>
  <c r="H18" i="1"/>
  <c r="F19" i="1"/>
  <c r="G19" i="1" s="1"/>
  <c r="F20" i="1"/>
  <c r="G20" i="1" s="1"/>
  <c r="F21" i="1"/>
  <c r="H21" i="1" s="1"/>
  <c r="G21" i="1"/>
  <c r="L21" i="1" s="1"/>
  <c r="F22" i="1"/>
  <c r="G22" i="1" s="1"/>
  <c r="H22" i="1"/>
  <c r="F23" i="1"/>
  <c r="G23" i="1" s="1"/>
  <c r="H23" i="1"/>
  <c r="F24" i="1"/>
  <c r="G24" i="1" s="1"/>
  <c r="F25" i="1"/>
  <c r="G25" i="1"/>
  <c r="H25" i="1"/>
  <c r="F26" i="1"/>
  <c r="G26" i="1"/>
  <c r="H26" i="1"/>
  <c r="F27" i="1"/>
  <c r="G27" i="1" s="1"/>
  <c r="H27" i="1"/>
  <c r="F28" i="1"/>
  <c r="H28" i="1" s="1"/>
  <c r="G28" i="1"/>
  <c r="F2" i="1"/>
  <c r="H2" i="1" s="1"/>
  <c r="F3" i="2"/>
  <c r="H3" i="2" s="1"/>
  <c r="F4" i="2"/>
  <c r="H4" i="2" s="1"/>
  <c r="F5" i="2"/>
  <c r="H5" i="2" s="1"/>
  <c r="F6" i="2"/>
  <c r="G6" i="2" s="1"/>
  <c r="F7" i="2"/>
  <c r="G7" i="2" s="1"/>
  <c r="F8" i="2"/>
  <c r="G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G14" i="2" s="1"/>
  <c r="F15" i="2"/>
  <c r="G15" i="2" s="1"/>
  <c r="F16" i="2"/>
  <c r="G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G22" i="2" s="1"/>
  <c r="F23" i="2"/>
  <c r="G23" i="2" s="1"/>
  <c r="F24" i="2"/>
  <c r="G24" i="2" s="1"/>
  <c r="F25" i="2"/>
  <c r="H25" i="2" s="1"/>
  <c r="F26" i="2"/>
  <c r="H26" i="2" s="1"/>
  <c r="F27" i="2"/>
  <c r="H27" i="2" s="1"/>
  <c r="F28" i="2"/>
  <c r="H28" i="2" s="1"/>
  <c r="F2" i="2"/>
  <c r="H2" i="2" s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N30" i="1" l="1"/>
  <c r="N29" i="1"/>
  <c r="O26" i="1"/>
  <c r="P26" i="1" s="1"/>
  <c r="O30" i="1"/>
  <c r="O29" i="1"/>
  <c r="P2" i="1"/>
  <c r="J2" i="3"/>
  <c r="R2" i="3"/>
  <c r="J3" i="3"/>
  <c r="R3" i="3"/>
  <c r="J4" i="3"/>
  <c r="R4" i="3"/>
  <c r="J5" i="3"/>
  <c r="R5" i="3"/>
  <c r="J6" i="3"/>
  <c r="R6" i="3"/>
  <c r="J7" i="3"/>
  <c r="R7" i="3"/>
  <c r="J8" i="3"/>
  <c r="R8" i="3"/>
  <c r="J9" i="3"/>
  <c r="R9" i="3"/>
  <c r="J10" i="3"/>
  <c r="R10" i="3"/>
  <c r="J11" i="3"/>
  <c r="R11" i="3"/>
  <c r="J12" i="3"/>
  <c r="R12" i="3"/>
  <c r="J13" i="3"/>
  <c r="R13" i="3"/>
  <c r="J14" i="3"/>
  <c r="R14" i="3"/>
  <c r="J15" i="3"/>
  <c r="R15" i="3"/>
  <c r="J16" i="3"/>
  <c r="R16" i="3"/>
  <c r="J17" i="3"/>
  <c r="R17" i="3"/>
  <c r="J18" i="3"/>
  <c r="R18" i="3"/>
  <c r="J19" i="3"/>
  <c r="R19" i="3"/>
  <c r="J20" i="3"/>
  <c r="R20" i="3"/>
  <c r="J22" i="3"/>
  <c r="R22" i="3"/>
  <c r="J23" i="3"/>
  <c r="R23" i="3"/>
  <c r="J24" i="3"/>
  <c r="R24" i="3"/>
  <c r="J25" i="3"/>
  <c r="R25" i="3"/>
  <c r="J26" i="3"/>
  <c r="R26" i="3"/>
  <c r="J27" i="3"/>
  <c r="R27" i="3"/>
  <c r="J28" i="3"/>
  <c r="R28" i="3"/>
  <c r="G2" i="2"/>
  <c r="G21" i="2"/>
  <c r="G13" i="2"/>
  <c r="G5" i="2"/>
  <c r="H24" i="2"/>
  <c r="H16" i="2"/>
  <c r="H8" i="2"/>
  <c r="G28" i="2"/>
  <c r="G20" i="2"/>
  <c r="G12" i="2"/>
  <c r="G4" i="2"/>
  <c r="H23" i="2"/>
  <c r="H15" i="2"/>
  <c r="H7" i="2"/>
  <c r="G27" i="2"/>
  <c r="G19" i="2"/>
  <c r="G11" i="2"/>
  <c r="G3" i="2"/>
  <c r="H22" i="2"/>
  <c r="H14" i="2"/>
  <c r="H6" i="2"/>
  <c r="G26" i="2"/>
  <c r="G18" i="2"/>
  <c r="G10" i="2"/>
  <c r="G25" i="2"/>
  <c r="G17" i="2"/>
  <c r="G9" i="2"/>
  <c r="G2" i="1"/>
  <c r="H7" i="1"/>
  <c r="H10" i="1"/>
  <c r="H5" i="1"/>
  <c r="G5" i="1"/>
  <c r="G6" i="1"/>
  <c r="H6" i="1"/>
  <c r="H20" i="1"/>
  <c r="H12" i="1"/>
  <c r="H4" i="1"/>
  <c r="H19" i="1"/>
  <c r="H11" i="1"/>
  <c r="H3" i="1"/>
  <c r="H24" i="1"/>
  <c r="H16" i="1"/>
  <c r="H8" i="1"/>
  <c r="P30" i="1" l="1"/>
  <c r="P29" i="1"/>
</calcChain>
</file>

<file path=xl/sharedStrings.xml><?xml version="1.0" encoding="utf-8"?>
<sst xmlns="http://schemas.openxmlformats.org/spreadsheetml/2006/main" count="194" uniqueCount="47">
  <si>
    <t>h</t>
  </si>
  <si>
    <t>time on clock</t>
  </si>
  <si>
    <t>t</t>
  </si>
  <si>
    <t>Omega</t>
  </si>
  <si>
    <t>Omega*t</t>
  </si>
  <si>
    <t>cos(omega*t)</t>
  </si>
  <si>
    <t>sin(omega*t)</t>
  </si>
  <si>
    <t>h_0</t>
  </si>
  <si>
    <t>a</t>
  </si>
  <si>
    <t>b</t>
  </si>
  <si>
    <t>x-axis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</si>
  <si>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</si>
  <si>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</si>
  <si>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</si>
  <si>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</si>
  <si>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</si>
  <si>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</si>
  <si>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</si>
  <si>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</si>
  <si>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</si>
  <si>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</si>
  <si>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</si>
  <si>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</si>
  <si>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</si>
  <si>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</si>
  <si>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Forecasted Height</t>
  </si>
  <si>
    <t>Forecasted Time</t>
  </si>
  <si>
    <t>Time</t>
  </si>
  <si>
    <t>Height</t>
  </si>
  <si>
    <t>High_or_Low</t>
  </si>
  <si>
    <t>Error</t>
  </si>
  <si>
    <t>low</t>
  </si>
  <si>
    <t>high</t>
  </si>
  <si>
    <t>This was based on average values of a, b and h_0 that were not used in the final report</t>
  </si>
  <si>
    <t>Forecasted Clock Time</t>
  </si>
  <si>
    <t>Using times 1,2,3</t>
  </si>
  <si>
    <t>Time on Clock</t>
  </si>
  <si>
    <t>Time Delta</t>
  </si>
  <si>
    <t>Using times 1, 6, 11</t>
  </si>
  <si>
    <t>{a: 4.21651988007109, b: -3.60616038761564, h₀: 7.42483340161983}</t>
  </si>
  <si>
    <t>{a: 1.71571962691631, b: -4.57598367196806, h₀: 7.02353530983976}</t>
  </si>
  <si>
    <t>These are various early attempts, for the final attempts see python notebooks on github</t>
  </si>
  <si>
    <t>Times 1, 6, 11</t>
  </si>
  <si>
    <t>Clock Time</t>
  </si>
  <si>
    <t>{a: 1.69527668049793, b: 0.365153054772495, h₀: 2.26673360018146}</t>
  </si>
  <si>
    <t>Not Calculated in this attempt</t>
  </si>
  <si>
    <t>This is an early attempt, for the final attempts see python notebooks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</si>
</sst>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Bristol!$D$2:$D$28</c:f>
              <c:numCache>
                <c:formatCode>General</c:formatCode>
                <c:ptCount val="27"/>
                <c:pt idx="0">
                  <c:v>4.1333333333333337</c:v>
                </c:pt>
                <c:pt idx="1">
                  <c:v>9.8333333333333339</c:v>
                </c:pt>
                <c:pt idx="2">
                  <c:v>16.366666666666667</c:v>
                </c:pt>
                <c:pt idx="3">
                  <c:v>22.116666666666667</c:v>
                </c:pt>
                <c:pt idx="4">
                  <c:v>28.45</c:v>
                </c:pt>
                <c:pt idx="5">
                  <c:v>34.283333333333331</c:v>
                </c:pt>
                <c:pt idx="6">
                  <c:v>40.700000000000003</c:v>
                </c:pt>
                <c:pt idx="7">
                  <c:v>46.56666666666667</c:v>
                </c:pt>
                <c:pt idx="8">
                  <c:v>52.866666666666667</c:v>
                </c:pt>
                <c:pt idx="9">
                  <c:v>58.75</c:v>
                </c:pt>
                <c:pt idx="10">
                  <c:v>65.150000000000006</c:v>
                </c:pt>
                <c:pt idx="11">
                  <c:v>71.066666666666663</c:v>
                </c:pt>
                <c:pt idx="12">
                  <c:v>77.400000000000006</c:v>
                </c:pt>
                <c:pt idx="13">
                  <c:v>83.316666666666663</c:v>
                </c:pt>
                <c:pt idx="14">
                  <c:v>89.716666666666669</c:v>
                </c:pt>
                <c:pt idx="15">
                  <c:v>95.7</c:v>
                </c:pt>
                <c:pt idx="16">
                  <c:v>102.06666666666666</c:v>
                </c:pt>
                <c:pt idx="17">
                  <c:v>108.06666666666666</c:v>
                </c:pt>
                <c:pt idx="18">
                  <c:v>114.43333333333334</c:v>
                </c:pt>
                <c:pt idx="19">
                  <c:v>120.53333333333333</c:v>
                </c:pt>
                <c:pt idx="20">
                  <c:v>126.93333333333334</c:v>
                </c:pt>
                <c:pt idx="21">
                  <c:v>133.06666666666666</c:v>
                </c:pt>
                <c:pt idx="22">
                  <c:v>139.43333333333334</c:v>
                </c:pt>
                <c:pt idx="23">
                  <c:v>145.69999999999999</c:v>
                </c:pt>
                <c:pt idx="24">
                  <c:v>152.25</c:v>
                </c:pt>
                <c:pt idx="25">
                  <c:v>158.4</c:v>
                </c:pt>
                <c:pt idx="26">
                  <c:v>165.01666666666668</c:v>
                </c:pt>
              </c:numCache>
            </c:numRef>
          </c:xVal>
          <c:yVal>
            <c:numRef>
              <c:f>Bristol!$L$2:$L$28</c:f>
              <c:numCache>
                <c:formatCode>General</c:formatCode>
                <c:ptCount val="27"/>
                <c:pt idx="0">
                  <c:v>2.200129694394906</c:v>
                </c:pt>
                <c:pt idx="1">
                  <c:v>11.99975038070535</c:v>
                </c:pt>
                <c:pt idx="2">
                  <c:v>2.4001909517607163</c:v>
                </c:pt>
                <c:pt idx="3">
                  <c:v>11.770867950082227</c:v>
                </c:pt>
                <c:pt idx="4">
                  <c:v>2.8726781625226603</c:v>
                </c:pt>
                <c:pt idx="5">
                  <c:v>11.293172731580972</c:v>
                </c:pt>
                <c:pt idx="6">
                  <c:v>3.1630906819690936</c:v>
                </c:pt>
                <c:pt idx="7">
                  <c:v>11.007805642786042</c:v>
                </c:pt>
                <c:pt idx="8">
                  <c:v>3.6533794353268325</c:v>
                </c:pt>
                <c:pt idx="9">
                  <c:v>10.474706874378516</c:v>
                </c:pt>
                <c:pt idx="10">
                  <c:v>3.9449017637934829</c:v>
                </c:pt>
                <c:pt idx="11">
                  <c:v>10.226819404369227</c:v>
                </c:pt>
                <c:pt idx="12">
                  <c:v>4.3304161129632961</c:v>
                </c:pt>
                <c:pt idx="13">
                  <c:v>9.8035269949255834</c:v>
                </c:pt>
                <c:pt idx="14">
                  <c:v>4.576810103690117</c:v>
                </c:pt>
                <c:pt idx="15">
                  <c:v>9.7084997715013692</c:v>
                </c:pt>
                <c:pt idx="16">
                  <c:v>4.7487527531094287</c:v>
                </c:pt>
                <c:pt idx="17">
                  <c:v>9.56959515971689</c:v>
                </c:pt>
                <c:pt idx="18">
                  <c:v>4.8824459040984767</c:v>
                </c:pt>
                <c:pt idx="19">
                  <c:v>9.6881248874248183</c:v>
                </c:pt>
                <c:pt idx="20">
                  <c:v>4.6865887987122976</c:v>
                </c:pt>
                <c:pt idx="21">
                  <c:v>9.9730508264679258</c:v>
                </c:pt>
                <c:pt idx="22">
                  <c:v>4.4951435248754574</c:v>
                </c:pt>
                <c:pt idx="23">
                  <c:v>10.487540358616366</c:v>
                </c:pt>
                <c:pt idx="24">
                  <c:v>3.6161443593975586</c:v>
                </c:pt>
                <c:pt idx="25">
                  <c:v>11.108591019119604</c:v>
                </c:pt>
                <c:pt idx="26">
                  <c:v>2.9717635698497609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7-4390-963E-745C0788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96736"/>
        <c:axId val="1087645008"/>
      </c:scatterChart>
      <c:valAx>
        <c:axId val="10953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45008"/>
        <c:crosses val="autoZero"/>
        <c:crossBetween val="midCat"/>
      </c:valAx>
      <c:valAx>
        <c:axId val="10876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376720</xdr:colOff>
      <xdr:row>28</xdr:row>
      <xdr:rowOff>136611</xdr:rowOff>
    </xdr:from>
    <xdr:to>
      <xdr:col>9</xdr:col>
      <xdr:colOff>415551</xdr:colOff>
      <xdr:row>32</xdr:row>
      <xdr:rowOff>116361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67A239-E382-9664-299A-467A99A188B2}"/>
            </a:ext>
          </a:extLst>
        </xdr:cNvPr>
        <xdr:cNvSpPr txBox="1"/>
      </xdr:nvSpPr>
      <xdr:spPr>
        <a:xfrm>
          <a:off x="3767620" y="5203911"/>
          <a:ext cx="2953481" cy="703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Assuming 00:00 on Day</a:t>
          </a:r>
          <a:r>
            <a:rPr lang="en-GB" sz="1100" baseline="0"/>
            <a:t> 1 is t=0</a:t>
          </a:r>
        </a:p>
        <a:p>
          <a:endParaRPr lang="en-GB" sz="1100" baseline="0"/>
        </a:p>
        <a:p>
          <a:r>
            <a:rPr lang="en-GB" sz="1100" baseline="0"/>
            <a:t>Omega = 28.984deg/hr </a:t>
          </a:r>
          <a:endParaRPr lang="en-GB" sz="1100"/>
        </a:p>
      </xdr:txBody>
    </xdr:sp>
    <xdr:clientData/>
  </xdr:twoCellAnchor>
  <xdr:twoCellAnchor>
    <xdr:from>
      <xdr:col>5</xdr:col>
      <xdr:colOff>400781</xdr:colOff>
      <xdr:row>33</xdr:row>
      <xdr:rowOff>11273</xdr:rowOff>
    </xdr:from>
    <xdr:to>
      <xdr:col>9</xdr:col>
      <xdr:colOff>473536</xdr:colOff>
      <xdr:row>35</xdr:row>
      <xdr:rowOff>102714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1902F5-D8E5-A120-40BE-5363FF58E360}"/>
            </a:ext>
            <a:ext uri="{147F2762-F138-4A5C-976F-8EAC2B608ADB}">
              <a16:predDERef xmlns:a16="http://schemas.microsoft.com/office/drawing/2014/main" pred="{A867A239-E382-9664-299A-467A99A188B2}"/>
            </a:ext>
          </a:extLst>
        </xdr:cNvPr>
        <xdr:cNvSpPr txBox="1"/>
      </xdr:nvSpPr>
      <xdr:spPr>
        <a:xfrm>
          <a:off x="3791681" y="5983448"/>
          <a:ext cx="2987405" cy="453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h_0 should be constant for a location</a:t>
          </a:r>
        </a:p>
        <a:p>
          <a:endParaRPr lang="en-GB" sz="1100"/>
        </a:p>
      </xdr:txBody>
    </xdr:sp>
    <xdr:clientData/>
  </xdr:twoCellAnchor>
  <xdr:twoCellAnchor>
    <xdr:from>
      <xdr:col>6</xdr:col>
      <xdr:colOff>267326</xdr:colOff>
      <xdr:row>36</xdr:row>
      <xdr:rowOff>84968</xdr:rowOff>
    </xdr:from>
    <xdr:to>
      <xdr:col>16</xdr:col>
      <xdr:colOff>306574</xdr:colOff>
      <xdr:row>51</xdr:row>
      <xdr:rowOff>9812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3B04F5B3-EED0-EF1E-0970-A7118A9F603A}"/>
            </a:ext>
            <a:ext uri="{147F2762-F138-4A5C-976F-8EAC2B608ADB}">
              <a16:predDERef xmlns:a16="http://schemas.microsoft.com/office/drawing/2014/main" pred="{111902F5-D8E5-A120-40BE-5363FF58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7620</xdr:rowOff>
    </xdr:from>
    <xdr:to>
      <xdr:col>13</xdr:col>
      <xdr:colOff>571500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38AB9-3285-4132-8621-45A668F85785}"/>
            </a:ext>
          </a:extLst>
        </xdr:cNvPr>
        <xdr:cNvSpPr txBox="1"/>
      </xdr:nvSpPr>
      <xdr:spPr>
        <a:xfrm>
          <a:off x="5631180" y="373380"/>
          <a:ext cx="3002280" cy="723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Assuming 00:00 on Day</a:t>
          </a:r>
          <a:r>
            <a:rPr lang="en-GB" sz="1100" baseline="0"/>
            <a:t> 1 is t=0</a:t>
          </a:r>
        </a:p>
        <a:p>
          <a:endParaRPr lang="en-GB" sz="1100" baseline="0"/>
        </a:p>
        <a:p>
          <a:r>
            <a:rPr lang="en-GB" sz="1100" baseline="0"/>
            <a:t>Omega = 28.984deg/hr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5097-A087-41F2-990A-396F55E4677F}">
  <dimension ref="A1:P55"/>
  <sheetViews>
    <sheetView tabSelected="1" topLeftCell="A34" zoomScale="73" zoomScaleNormal="120" workbookViewId="0">
      <selection activeCell="T32" sqref="T32"/>
    </sheetView>
  </sheetViews>
  <sheetFormatPr defaultRowHeight="15" x14ac:dyDescent="0.25"/>
  <cols>
    <col min="3" max="3" width="11.85546875" bestFit="1" customWidth="1"/>
    <col min="4" max="4" width="11.5703125" bestFit="1" customWidth="1"/>
    <col min="7" max="8" width="12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9</v>
      </c>
      <c r="O1" t="s">
        <v>8</v>
      </c>
      <c r="P1" t="s">
        <v>7</v>
      </c>
    </row>
    <row r="2" spans="1:16" x14ac:dyDescent="0.25">
      <c r="A2" t="s">
        <v>11</v>
      </c>
      <c r="B2" s="2">
        <v>2.2000000000000002</v>
      </c>
      <c r="C2" s="1">
        <v>0.17222222222222225</v>
      </c>
      <c r="D2">
        <f>4+8/60</f>
        <v>4.1333333333333337</v>
      </c>
      <c r="E2">
        <v>0.50586622999999997</v>
      </c>
      <c r="F2">
        <f>$E$2*D2</f>
        <v>2.0909137506666666</v>
      </c>
      <c r="G2">
        <f>COS(F2)</f>
        <v>-0.49698203710599403</v>
      </c>
      <c r="H2">
        <f>SIN(F2)</f>
        <v>0.86776082810528865</v>
      </c>
      <c r="I2">
        <v>7.4248000000000003</v>
      </c>
      <c r="J2">
        <v>4.2164999999999999</v>
      </c>
      <c r="K2">
        <v>-3.6059999999999999</v>
      </c>
      <c r="L2">
        <f>$I$2+$J$2*G2+$K$2*H2</f>
        <v>2.200129694394906</v>
      </c>
      <c r="N2">
        <f t="shared" ref="N2:N26" si="0">((B4-B2)*(G3-G2)-(B3-B2)*(G4-G2)/((H4-H2)*(G3-G2)+(H2-H3)*(G4-G2)))</f>
        <v>-4.2627159462843736</v>
      </c>
      <c r="O2">
        <f t="shared" ref="O2:O26" si="1">(B3-B2-N2*(H3-H2))/(G3-G2)</f>
        <v>2.6240787470397708</v>
      </c>
      <c r="P2">
        <f t="shared" ref="P2:P26" si="2">B2-O2*G2-N2*H2</f>
        <v>7.2031379207557169</v>
      </c>
    </row>
    <row r="3" spans="1:16" x14ac:dyDescent="0.25">
      <c r="B3" s="2">
        <v>12</v>
      </c>
      <c r="C3" s="1">
        <v>0.40972222222222227</v>
      </c>
      <c r="D3">
        <f>9+50/60</f>
        <v>9.8333333333333339</v>
      </c>
      <c r="F3">
        <f t="shared" ref="F3:F28" si="3">$E$2*D3</f>
        <v>4.9743512616666665</v>
      </c>
      <c r="G3">
        <f t="shared" ref="G3:G28" si="4">COS(F3)</f>
        <v>0.25897638469003254</v>
      </c>
      <c r="H3">
        <f t="shared" ref="H3:H28" si="5">SIN(F3)</f>
        <v>-0.96588365353849959</v>
      </c>
      <c r="L3">
        <f t="shared" ref="L3:L28" si="6">$I$2+$J$2*G3+$K$2*H3</f>
        <v>11.99975038070535</v>
      </c>
      <c r="N3">
        <f t="shared" si="0"/>
        <v>-4.5227589062184208</v>
      </c>
      <c r="O3">
        <f t="shared" si="1"/>
        <v>1.6553952164265242</v>
      </c>
      <c r="P3">
        <f t="shared" si="2"/>
        <v>7.2028328352046476</v>
      </c>
    </row>
    <row r="4" spans="1:16" x14ac:dyDescent="0.25">
      <c r="B4" s="2">
        <v>2.4</v>
      </c>
      <c r="C4" s="1">
        <v>0.68194444444444446</v>
      </c>
      <c r="D4">
        <f>16+22/60</f>
        <v>16.366666666666667</v>
      </c>
      <c r="F4">
        <f t="shared" si="3"/>
        <v>8.279343964333334</v>
      </c>
      <c r="G4">
        <f t="shared" si="4"/>
        <v>-0.41265085166182647</v>
      </c>
      <c r="H4">
        <f t="shared" si="5"/>
        <v>0.91088927681841181</v>
      </c>
      <c r="L4">
        <f t="shared" si="6"/>
        <v>2.4001909517607163</v>
      </c>
      <c r="N4">
        <f t="shared" si="0"/>
        <v>-4.4761554071726097</v>
      </c>
      <c r="O4">
        <f t="shared" si="1"/>
        <v>1.37299762682402</v>
      </c>
      <c r="P4">
        <f t="shared" si="2"/>
        <v>7.0438506018048805</v>
      </c>
    </row>
    <row r="5" spans="1:16" x14ac:dyDescent="0.25">
      <c r="B5" s="2">
        <v>11.7</v>
      </c>
      <c r="C5" s="1">
        <v>0.92152777777777783</v>
      </c>
      <c r="D5">
        <f>22+7/60</f>
        <v>22.116666666666667</v>
      </c>
      <c r="F5">
        <f t="shared" si="3"/>
        <v>11.188074786833333</v>
      </c>
      <c r="G5">
        <f t="shared" si="4"/>
        <v>0.19131380287029631</v>
      </c>
      <c r="H5">
        <f t="shared" si="5"/>
        <v>-0.98152892409307302</v>
      </c>
      <c r="L5">
        <f t="shared" si="6"/>
        <v>11.770867950082227</v>
      </c>
      <c r="N5">
        <f t="shared" si="0"/>
        <v>-4.6849327696433756</v>
      </c>
      <c r="O5">
        <f t="shared" si="1"/>
        <v>0.60420985492084578</v>
      </c>
      <c r="P5">
        <f t="shared" si="2"/>
        <v>6.9860092940869398</v>
      </c>
    </row>
    <row r="6" spans="1:16" x14ac:dyDescent="0.25">
      <c r="A6" t="s">
        <v>12</v>
      </c>
      <c r="B6" s="2">
        <v>2.2999999999999998</v>
      </c>
      <c r="C6" s="1">
        <v>0.18541666666666667</v>
      </c>
      <c r="D6">
        <f>24+4+27/60</f>
        <v>28.45</v>
      </c>
      <c r="F6">
        <f t="shared" si="3"/>
        <v>14.391894243499999</v>
      </c>
      <c r="G6">
        <f t="shared" si="4"/>
        <v>-0.25198151974799449</v>
      </c>
      <c r="H6">
        <f t="shared" si="5"/>
        <v>0.96773204643924604</v>
      </c>
      <c r="L6">
        <f t="shared" si="6"/>
        <v>2.8726781625226603</v>
      </c>
      <c r="N6">
        <f t="shared" si="0"/>
        <v>-4.5908741031033751</v>
      </c>
      <c r="O6">
        <f t="shared" si="1"/>
        <v>1.1893797194874689</v>
      </c>
      <c r="P6">
        <f t="shared" si="2"/>
        <v>7.0424377000150624</v>
      </c>
    </row>
    <row r="7" spans="1:16" x14ac:dyDescent="0.25">
      <c r="B7" s="2">
        <v>11.7</v>
      </c>
      <c r="C7" s="1">
        <v>0.4284722222222222</v>
      </c>
      <c r="D7">
        <f>24+10+17/60</f>
        <v>34.283333333333331</v>
      </c>
      <c r="F7">
        <f t="shared" si="3"/>
        <v>17.342780585166665</v>
      </c>
      <c r="G7">
        <f t="shared" si="4"/>
        <v>6.3977265715305667E-2</v>
      </c>
      <c r="H7">
        <f t="shared" si="5"/>
        <v>-0.99795135626522058</v>
      </c>
      <c r="L7">
        <f t="shared" si="6"/>
        <v>11.293172731580972</v>
      </c>
      <c r="N7">
        <f t="shared" si="0"/>
        <v>-4.602505702696301</v>
      </c>
      <c r="O7">
        <f t="shared" si="1"/>
        <v>0.73202344608371794</v>
      </c>
      <c r="P7">
        <f t="shared" si="2"/>
        <v>7.0600903332558831</v>
      </c>
    </row>
    <row r="8" spans="1:16" x14ac:dyDescent="0.25">
      <c r="B8" s="2">
        <v>2.4</v>
      </c>
      <c r="C8" s="1">
        <v>0.6958333333333333</v>
      </c>
      <c r="D8">
        <f>24+16+42/60</f>
        <v>40.700000000000003</v>
      </c>
      <c r="F8">
        <f t="shared" si="3"/>
        <v>20.588755560999999</v>
      </c>
      <c r="G8">
        <f t="shared" si="4"/>
        <v>-0.16760846336450397</v>
      </c>
      <c r="H8">
        <f t="shared" si="5"/>
        <v>0.98585364177883406</v>
      </c>
      <c r="L8">
        <f t="shared" si="6"/>
        <v>3.1630906819690936</v>
      </c>
      <c r="N8">
        <f t="shared" si="0"/>
        <v>-4.4937263885512699</v>
      </c>
      <c r="O8">
        <f t="shared" si="1"/>
        <v>0.46978281585244097</v>
      </c>
      <c r="P8">
        <f t="shared" si="2"/>
        <v>6.9088961011909955</v>
      </c>
    </row>
    <row r="9" spans="1:16" x14ac:dyDescent="0.25">
      <c r="B9" s="2">
        <v>11.4</v>
      </c>
      <c r="C9" s="1">
        <v>0.94027777777777777</v>
      </c>
      <c r="D9">
        <f>24+22+34/60</f>
        <v>46.56666666666667</v>
      </c>
      <c r="F9">
        <f t="shared" si="3"/>
        <v>23.556504110333332</v>
      </c>
      <c r="G9">
        <f t="shared" si="4"/>
        <v>-5.4407647469115116E-3</v>
      </c>
      <c r="H9">
        <f t="shared" si="5"/>
        <v>-0.99998519892994853</v>
      </c>
      <c r="L9">
        <f t="shared" si="6"/>
        <v>11.007805642786042</v>
      </c>
      <c r="N9">
        <f t="shared" si="0"/>
        <v>-4.510369013028166</v>
      </c>
      <c r="O9">
        <f t="shared" si="1"/>
        <v>-0.49538665473574212</v>
      </c>
      <c r="P9">
        <f t="shared" si="2"/>
        <v>6.8870024630123785</v>
      </c>
    </row>
    <row r="10" spans="1:16" x14ac:dyDescent="0.25">
      <c r="A10" t="s">
        <v>13</v>
      </c>
      <c r="B10" s="2">
        <v>2.4</v>
      </c>
      <c r="C10" s="1">
        <v>0.20277777777777781</v>
      </c>
      <c r="D10">
        <f>24*2+4+52/60</f>
        <v>52.866666666666667</v>
      </c>
      <c r="F10">
        <f t="shared" si="3"/>
        <v>26.743461359333331</v>
      </c>
      <c r="G10">
        <f t="shared" si="4"/>
        <v>-3.9913198839526896E-2</v>
      </c>
      <c r="H10">
        <f t="shared" si="5"/>
        <v>0.99920315079487032</v>
      </c>
      <c r="L10">
        <f t="shared" si="6"/>
        <v>3.6533794353268325</v>
      </c>
      <c r="N10">
        <f t="shared" si="0"/>
        <v>-4.5793286466592527</v>
      </c>
      <c r="O10">
        <f t="shared" si="1"/>
        <v>0.22286997067828648</v>
      </c>
      <c r="P10">
        <f t="shared" si="2"/>
        <v>6.9845750657221766</v>
      </c>
    </row>
    <row r="11" spans="1:16" x14ac:dyDescent="0.25">
      <c r="B11" s="2">
        <v>11.5</v>
      </c>
      <c r="C11" s="1">
        <v>0.44791666666666669</v>
      </c>
      <c r="D11">
        <f>24+24+10+45/60</f>
        <v>58.75</v>
      </c>
      <c r="F11">
        <f t="shared" si="3"/>
        <v>29.719641012499999</v>
      </c>
      <c r="G11">
        <f t="shared" si="4"/>
        <v>-0.12516009817605642</v>
      </c>
      <c r="H11">
        <f t="shared" si="5"/>
        <v>-0.99213655805265033</v>
      </c>
      <c r="L11">
        <f t="shared" si="6"/>
        <v>10.474706874378516</v>
      </c>
      <c r="N11">
        <f t="shared" si="0"/>
        <v>-4.5275738974399253</v>
      </c>
      <c r="O11">
        <f t="shared" si="1"/>
        <v>0.11358237854149057</v>
      </c>
      <c r="P11">
        <f t="shared" si="2"/>
        <v>7.0222443987142533</v>
      </c>
    </row>
    <row r="12" spans="1:16" x14ac:dyDescent="0.25">
      <c r="B12" s="2">
        <v>2.5</v>
      </c>
      <c r="C12" s="1">
        <v>0.71458333333333324</v>
      </c>
      <c r="D12">
        <f>24+24+17+9/60</f>
        <v>65.150000000000006</v>
      </c>
      <c r="F12">
        <f t="shared" si="3"/>
        <v>32.957184884500002</v>
      </c>
      <c r="G12">
        <f t="shared" si="4"/>
        <v>2.9533683104491375E-2</v>
      </c>
      <c r="H12">
        <f t="shared" si="5"/>
        <v>0.99956378563965764</v>
      </c>
      <c r="L12">
        <f t="shared" si="6"/>
        <v>3.9449017637934829</v>
      </c>
      <c r="N12">
        <f t="shared" si="0"/>
        <v>-4.3232493896618926</v>
      </c>
      <c r="O12">
        <f t="shared" si="1"/>
        <v>-0.11497498980412935</v>
      </c>
      <c r="P12">
        <f t="shared" si="2"/>
        <v>6.8247591611085987</v>
      </c>
    </row>
    <row r="13" spans="1:16" x14ac:dyDescent="0.25">
      <c r="B13" s="2">
        <v>11.1</v>
      </c>
      <c r="C13" s="1">
        <v>0.96111111111111114</v>
      </c>
      <c r="D13">
        <f>24+24+23+4/60</f>
        <v>71.066666666666663</v>
      </c>
      <c r="F13">
        <f t="shared" si="3"/>
        <v>35.950226745333332</v>
      </c>
      <c r="G13">
        <f t="shared" si="4"/>
        <v>-0.17714889694436772</v>
      </c>
      <c r="H13">
        <f t="shared" si="5"/>
        <v>-0.98418406221163413</v>
      </c>
      <c r="L13">
        <f t="shared" si="6"/>
        <v>10.226819404369227</v>
      </c>
      <c r="N13">
        <f t="shared" si="0"/>
        <v>-4.1598780240920883</v>
      </c>
      <c r="O13">
        <f t="shared" si="1"/>
        <v>-0.93569426280023726</v>
      </c>
      <c r="P13">
        <f t="shared" si="2"/>
        <v>6.8401571414119067</v>
      </c>
    </row>
    <row r="14" spans="1:16" x14ac:dyDescent="0.25">
      <c r="A14" t="s">
        <v>14</v>
      </c>
      <c r="B14" s="2">
        <v>2.6</v>
      </c>
      <c r="C14" s="1">
        <v>0.22500000000000001</v>
      </c>
      <c r="D14">
        <f>24*3+5+24/60</f>
        <v>77.400000000000006</v>
      </c>
      <c r="F14">
        <f t="shared" si="3"/>
        <v>39.154046202000004</v>
      </c>
      <c r="G14">
        <f t="shared" si="4"/>
        <v>0.11560292004859181</v>
      </c>
      <c r="H14">
        <f t="shared" si="5"/>
        <v>0.99329550732711913</v>
      </c>
      <c r="L14">
        <f t="shared" si="6"/>
        <v>4.3304161129632961</v>
      </c>
      <c r="N14">
        <f t="shared" si="0"/>
        <v>-4.299006662544743</v>
      </c>
      <c r="O14">
        <f t="shared" si="1"/>
        <v>-0.21280646403729975</v>
      </c>
      <c r="P14">
        <f t="shared" si="2"/>
        <v>6.8947850525229732</v>
      </c>
    </row>
    <row r="15" spans="1:16" x14ac:dyDescent="0.25">
      <c r="B15" s="2">
        <v>11.1</v>
      </c>
      <c r="C15" s="1">
        <v>0.47152777777777777</v>
      </c>
      <c r="D15">
        <f>24*3+11+19/60</f>
        <v>83.316666666666663</v>
      </c>
      <c r="F15">
        <f t="shared" si="3"/>
        <v>42.147088062833326</v>
      </c>
      <c r="G15">
        <f t="shared" si="4"/>
        <v>-0.26134248270909549</v>
      </c>
      <c r="H15">
        <f t="shared" si="5"/>
        <v>-0.96524613790030056</v>
      </c>
      <c r="L15">
        <f t="shared" si="6"/>
        <v>9.8035269949255834</v>
      </c>
      <c r="N15">
        <f t="shared" si="0"/>
        <v>-4.2210656187110782</v>
      </c>
      <c r="O15">
        <f t="shared" si="1"/>
        <v>-0.14992949379100634</v>
      </c>
      <c r="P15">
        <f t="shared" si="2"/>
        <v>6.9864497675767296</v>
      </c>
    </row>
    <row r="16" spans="1:16" x14ac:dyDescent="0.25">
      <c r="B16" s="2">
        <v>2.8</v>
      </c>
      <c r="C16" s="1">
        <v>0.73819444444444438</v>
      </c>
      <c r="D16">
        <f>24*3+17+43/60</f>
        <v>89.716666666666669</v>
      </c>
      <c r="F16">
        <f t="shared" si="3"/>
        <v>45.38463193483333</v>
      </c>
      <c r="G16">
        <f t="shared" si="4"/>
        <v>0.167665868896541</v>
      </c>
      <c r="H16">
        <f t="shared" si="5"/>
        <v>0.98584388034169379</v>
      </c>
      <c r="L16">
        <f t="shared" si="6"/>
        <v>4.576810103690117</v>
      </c>
      <c r="N16">
        <f t="shared" si="0"/>
        <v>-3.9759762908349545</v>
      </c>
      <c r="O16">
        <f t="shared" si="1"/>
        <v>-0.14045315770507183</v>
      </c>
      <c r="P16">
        <f t="shared" si="2"/>
        <v>6.7432410954291901</v>
      </c>
    </row>
    <row r="17" spans="1:16" x14ac:dyDescent="0.25">
      <c r="B17" s="2">
        <v>10.6</v>
      </c>
      <c r="C17" s="1">
        <v>0.98749999999999993</v>
      </c>
      <c r="D17">
        <f>24*3+23+42/60</f>
        <v>95.7</v>
      </c>
      <c r="F17">
        <f t="shared" si="3"/>
        <v>48.411398210999998</v>
      </c>
      <c r="G17">
        <f t="shared" si="4"/>
        <v>-0.27951402216498045</v>
      </c>
      <c r="H17">
        <f t="shared" si="5"/>
        <v>-0.96014161008319743</v>
      </c>
      <c r="L17">
        <f t="shared" si="6"/>
        <v>9.7084997715013692</v>
      </c>
      <c r="N17">
        <f t="shared" si="0"/>
        <v>-3.6420042226455096</v>
      </c>
      <c r="O17">
        <f t="shared" si="1"/>
        <v>-0.90571445507711024</v>
      </c>
      <c r="P17">
        <f t="shared" si="2"/>
        <v>6.8500003114677694</v>
      </c>
    </row>
    <row r="18" spans="1:16" x14ac:dyDescent="0.25">
      <c r="A18" t="s">
        <v>15</v>
      </c>
      <c r="B18" s="2">
        <v>3.1</v>
      </c>
      <c r="C18" s="1">
        <v>0.25277777777777777</v>
      </c>
      <c r="D18">
        <f>24*4+6+4/60</f>
        <v>102.06666666666666</v>
      </c>
      <c r="F18">
        <f t="shared" si="3"/>
        <v>51.632079875333332</v>
      </c>
      <c r="G18">
        <f t="shared" si="4"/>
        <v>0.20278277762660502</v>
      </c>
      <c r="H18">
        <f t="shared" si="5"/>
        <v>0.97922374618778463</v>
      </c>
      <c r="L18">
        <f t="shared" si="6"/>
        <v>4.7487527531094287</v>
      </c>
      <c r="N18">
        <f t="shared" si="0"/>
        <v>-3.7221762499310582</v>
      </c>
      <c r="O18">
        <f t="shared" si="1"/>
        <v>-0.41517612970191597</v>
      </c>
      <c r="P18">
        <f t="shared" si="2"/>
        <v>6.8290339402139093</v>
      </c>
    </row>
    <row r="19" spans="1:16" x14ac:dyDescent="0.25">
      <c r="B19" s="2">
        <v>10.5</v>
      </c>
      <c r="C19" s="1">
        <v>0.50277777777777777</v>
      </c>
      <c r="D19">
        <f>24*4+12+4/60</f>
        <v>108.06666666666666</v>
      </c>
      <c r="F19">
        <f t="shared" si="3"/>
        <v>54.667277255333332</v>
      </c>
      <c r="G19">
        <f t="shared" si="4"/>
        <v>-0.30562444248924958</v>
      </c>
      <c r="H19">
        <f t="shared" si="5"/>
        <v>-0.95215214128475045</v>
      </c>
      <c r="L19">
        <f t="shared" si="6"/>
        <v>9.56959515971689</v>
      </c>
      <c r="N19">
        <f t="shared" si="0"/>
        <v>-3.6583817598726052</v>
      </c>
      <c r="O19">
        <f t="shared" si="1"/>
        <v>-0.29132784214202045</v>
      </c>
      <c r="P19">
        <f t="shared" si="2"/>
        <v>6.9276270643639748</v>
      </c>
    </row>
    <row r="20" spans="1:16" x14ac:dyDescent="0.25">
      <c r="B20" s="2">
        <v>3.3</v>
      </c>
      <c r="C20" s="1">
        <v>0.7680555555555556</v>
      </c>
      <c r="D20">
        <f>24*4+18+26/60</f>
        <v>114.43333333333334</v>
      </c>
      <c r="F20">
        <f t="shared" si="3"/>
        <v>57.887958919666666</v>
      </c>
      <c r="G20">
        <f t="shared" si="4"/>
        <v>0.22944279988188043</v>
      </c>
      <c r="H20">
        <f t="shared" si="5"/>
        <v>0.97332214686729668</v>
      </c>
      <c r="L20">
        <f t="shared" si="6"/>
        <v>4.8824459040984767</v>
      </c>
      <c r="N20">
        <f t="shared" si="0"/>
        <v>-3.5345388968842562</v>
      </c>
      <c r="O20">
        <f t="shared" si="1"/>
        <v>5.830108228887599E-2</v>
      </c>
      <c r="P20">
        <f t="shared" si="2"/>
        <v>6.7268682237448472</v>
      </c>
    </row>
    <row r="21" spans="1:16" x14ac:dyDescent="0.25">
      <c r="A21" t="s">
        <v>16</v>
      </c>
      <c r="B21" s="2">
        <v>10.1</v>
      </c>
      <c r="C21" s="1">
        <v>2.2222222222222223E-2</v>
      </c>
      <c r="D21">
        <f>24*5+32/60</f>
        <v>120.53333333333333</v>
      </c>
      <c r="F21">
        <f t="shared" si="3"/>
        <v>60.973742922666659</v>
      </c>
      <c r="G21">
        <f t="shared" si="4"/>
        <v>-0.28337718325290095</v>
      </c>
      <c r="H21">
        <f t="shared" si="5"/>
        <v>-0.95900853594306024</v>
      </c>
      <c r="L21">
        <f t="shared" si="6"/>
        <v>9.6881248874248183</v>
      </c>
      <c r="N21">
        <f t="shared" si="0"/>
        <v>-3.1449316384254615</v>
      </c>
      <c r="O21">
        <f t="shared" si="1"/>
        <v>-0.62600505515812177</v>
      </c>
      <c r="P21">
        <f t="shared" si="2"/>
        <v>6.9065881645598015</v>
      </c>
    </row>
    <row r="22" spans="1:16" x14ac:dyDescent="0.25">
      <c r="B22" s="2">
        <v>3.7</v>
      </c>
      <c r="C22" s="1">
        <v>0.28888888888888892</v>
      </c>
      <c r="D22">
        <f>24*5+6+56/60</f>
        <v>126.93333333333334</v>
      </c>
      <c r="F22">
        <f t="shared" si="3"/>
        <v>64.211286794666663</v>
      </c>
      <c r="G22">
        <f t="shared" si="4"/>
        <v>0.19019680206055353</v>
      </c>
      <c r="H22">
        <f t="shared" si="5"/>
        <v>0.98174598368719523</v>
      </c>
      <c r="L22">
        <f t="shared" si="6"/>
        <v>4.6865887987122976</v>
      </c>
      <c r="N22">
        <f t="shared" si="0"/>
        <v>-3.1906138321273287</v>
      </c>
      <c r="O22">
        <f t="shared" si="1"/>
        <v>-0.14638659357451247</v>
      </c>
      <c r="P22">
        <f t="shared" si="2"/>
        <v>6.8602145771502263</v>
      </c>
    </row>
    <row r="23" spans="1:16" x14ac:dyDescent="0.25">
      <c r="B23" s="2">
        <v>10</v>
      </c>
      <c r="C23" s="1">
        <v>0.5444444444444444</v>
      </c>
      <c r="D23">
        <f>24*5+13+4/60</f>
        <v>133.06666666666666</v>
      </c>
      <c r="F23">
        <f t="shared" si="3"/>
        <v>67.313933005333325</v>
      </c>
      <c r="G23">
        <f t="shared" si="4"/>
        <v>-0.22827842117296665</v>
      </c>
      <c r="H23">
        <f t="shared" si="5"/>
        <v>-0.97359589277419289</v>
      </c>
      <c r="L23">
        <f t="shared" si="6"/>
        <v>9.9730508264679258</v>
      </c>
      <c r="N23">
        <f t="shared" si="0"/>
        <v>-3.1189401020344474</v>
      </c>
      <c r="O23">
        <f t="shared" si="1"/>
        <v>5.2607288446592494E-2</v>
      </c>
      <c r="P23">
        <f t="shared" si="2"/>
        <v>6.9754218355993203</v>
      </c>
    </row>
    <row r="24" spans="1:16" x14ac:dyDescent="0.25">
      <c r="B24" s="2">
        <v>3.9</v>
      </c>
      <c r="C24" s="1">
        <v>0.80972222222222223</v>
      </c>
      <c r="D24">
        <f>24*5+19+26/60</f>
        <v>139.43333333333334</v>
      </c>
      <c r="F24">
        <f t="shared" si="3"/>
        <v>70.534614669666666</v>
      </c>
      <c r="G24">
        <f t="shared" si="4"/>
        <v>0.15064435736926088</v>
      </c>
      <c r="H24">
        <f t="shared" si="5"/>
        <v>0.98858802217749053</v>
      </c>
      <c r="L24">
        <f t="shared" si="6"/>
        <v>4.4951435248754574</v>
      </c>
      <c r="N24">
        <f t="shared" si="0"/>
        <v>-2.9618497380680653</v>
      </c>
      <c r="O24">
        <f t="shared" si="1"/>
        <v>0.24766040423665386</v>
      </c>
      <c r="P24">
        <f t="shared" si="2"/>
        <v>6.7907405321015855</v>
      </c>
    </row>
    <row r="25" spans="1:16" x14ac:dyDescent="0.25">
      <c r="A25" t="s">
        <v>17</v>
      </c>
      <c r="B25" s="2">
        <v>9.6999999999999993</v>
      </c>
      <c r="C25" s="1">
        <v>7.0833333333333331E-2</v>
      </c>
      <c r="D25">
        <f>24*6+1+42/60</f>
        <v>145.69999999999999</v>
      </c>
      <c r="F25">
        <f t="shared" si="3"/>
        <v>73.704709710999992</v>
      </c>
      <c r="G25">
        <f t="shared" si="4"/>
        <v>-0.12240986665517575</v>
      </c>
      <c r="H25">
        <f t="shared" si="5"/>
        <v>-0.99247963432277142</v>
      </c>
      <c r="L25">
        <f t="shared" si="6"/>
        <v>10.487540358616366</v>
      </c>
      <c r="N25">
        <f t="shared" si="0"/>
        <v>-2.799553569584027</v>
      </c>
      <c r="O25">
        <f t="shared" si="1"/>
        <v>-0.34538525166256068</v>
      </c>
      <c r="P25">
        <f t="shared" si="2"/>
        <v>6.8792215343915561</v>
      </c>
    </row>
    <row r="26" spans="1:16" x14ac:dyDescent="0.25">
      <c r="B26" s="2">
        <v>4.0999999999999996</v>
      </c>
      <c r="C26" s="1">
        <v>0.34375</v>
      </c>
      <c r="D26">
        <f>24*6+8+15/60</f>
        <v>152.25</v>
      </c>
      <c r="F26">
        <f t="shared" si="3"/>
        <v>77.01813351749999</v>
      </c>
      <c r="G26">
        <f t="shared" si="4"/>
        <v>-4.9093762186506691E-2</v>
      </c>
      <c r="H26">
        <f t="shared" si="5"/>
        <v>0.99879417424931682</v>
      </c>
      <c r="L26">
        <f t="shared" si="6"/>
        <v>3.6161443593975586</v>
      </c>
      <c r="N26">
        <f t="shared" si="0"/>
        <v>-2.8387471102552113</v>
      </c>
      <c r="O26">
        <f t="shared" si="1"/>
        <v>0.39030012430595656</v>
      </c>
      <c r="P26">
        <f t="shared" si="2"/>
        <v>6.9544853773740289</v>
      </c>
    </row>
    <row r="27" spans="1:16" x14ac:dyDescent="0.25">
      <c r="B27" s="2">
        <v>9.8000000000000007</v>
      </c>
      <c r="C27" s="1">
        <v>0.6</v>
      </c>
      <c r="D27">
        <f>24*6+14+24/60</f>
        <v>158.4</v>
      </c>
      <c r="F27">
        <f t="shared" si="3"/>
        <v>80.129210831999998</v>
      </c>
      <c r="G27">
        <f t="shared" si="4"/>
        <v>1.859709332012047E-2</v>
      </c>
      <c r="H27">
        <f t="shared" si="5"/>
        <v>-0.99982705910574488</v>
      </c>
      <c r="L27">
        <f t="shared" si="6"/>
        <v>11.108591019119604</v>
      </c>
    </row>
    <row r="28" spans="1:16" x14ac:dyDescent="0.25">
      <c r="B28" s="2">
        <v>4.0999999999999996</v>
      </c>
      <c r="C28" s="1">
        <v>0.87569444444444444</v>
      </c>
      <c r="D28">
        <f>24*6+21+1/60</f>
        <v>165.01666666666668</v>
      </c>
      <c r="F28">
        <f t="shared" si="3"/>
        <v>83.476359053833335</v>
      </c>
      <c r="G28">
        <f t="shared" si="4"/>
        <v>-0.22228134694101476</v>
      </c>
      <c r="H28">
        <f t="shared" si="5"/>
        <v>0.97498256538365247</v>
      </c>
      <c r="L28">
        <f t="shared" si="6"/>
        <v>2.9717635698497609</v>
      </c>
    </row>
    <row r="29" spans="1:16" x14ac:dyDescent="0.25">
      <c r="A29" t="s">
        <v>18</v>
      </c>
      <c r="B29">
        <v>9.8000000000000007</v>
      </c>
      <c r="C29" s="1">
        <v>0.1361111111111111</v>
      </c>
      <c r="D29">
        <f>24*7+3+16/60</f>
        <v>171.26666666666668</v>
      </c>
      <c r="N29">
        <f>AVERAGE(N2:N26)</f>
        <v>-3.9536741554587915</v>
      </c>
      <c r="O29">
        <f>AVERAGE(O2:O26)</f>
        <v>0.19815793299771667</v>
      </c>
      <c r="P29">
        <f>AVERAGE(P2:P26)</f>
        <v>6.9332268197111739</v>
      </c>
    </row>
    <row r="30" spans="1:16" x14ac:dyDescent="0.25">
      <c r="B30">
        <v>3.8</v>
      </c>
      <c r="D30">
        <f>24*7+10-1/60</f>
        <v>177.98333333333332</v>
      </c>
      <c r="N30">
        <f>STDEV(N2:N26)</f>
        <v>0.63417605536010735</v>
      </c>
      <c r="O30">
        <f>STDEV(O2:O26)</f>
        <v>0.82107766587966557</v>
      </c>
      <c r="P30">
        <f>STDEV(P2:P26)</f>
        <v>0.1215517303170653</v>
      </c>
    </row>
    <row r="31" spans="1:16" x14ac:dyDescent="0.25">
      <c r="B31">
        <v>10.199999999999999</v>
      </c>
      <c r="D31">
        <f>24*7+16-1/60</f>
        <v>183.98333333333332</v>
      </c>
    </row>
    <row r="32" spans="1:16" x14ac:dyDescent="0.25">
      <c r="B32">
        <v>3.6</v>
      </c>
      <c r="D32">
        <f>24*7+22+42/60</f>
        <v>190.7</v>
      </c>
    </row>
    <row r="33" spans="1:4" x14ac:dyDescent="0.25">
      <c r="A33" t="s">
        <v>19</v>
      </c>
      <c r="B33">
        <v>10.6</v>
      </c>
      <c r="D33">
        <f>24*8+4+41/60</f>
        <v>196.68333333333334</v>
      </c>
    </row>
    <row r="34" spans="1:4" x14ac:dyDescent="0.25">
      <c r="B34">
        <v>3</v>
      </c>
      <c r="D34">
        <f>24*8+11+18/60</f>
        <v>203.3</v>
      </c>
    </row>
    <row r="35" spans="1:4" x14ac:dyDescent="0.25">
      <c r="B35">
        <v>11.1</v>
      </c>
      <c r="D35">
        <f>24*8+17+14/60</f>
        <v>209.23333333333332</v>
      </c>
    </row>
    <row r="36" spans="1:4" x14ac:dyDescent="0.25">
      <c r="B36">
        <v>2.8</v>
      </c>
      <c r="D36">
        <f>24*9-6/60</f>
        <v>215.9</v>
      </c>
    </row>
    <row r="37" spans="1:4" x14ac:dyDescent="0.25">
      <c r="A37" t="s">
        <v>20</v>
      </c>
      <c r="B37">
        <v>11.7</v>
      </c>
      <c r="D37">
        <f>24*9+5+44/60</f>
        <v>221.73333333333332</v>
      </c>
    </row>
    <row r="38" spans="1:4" x14ac:dyDescent="0.25">
      <c r="B38">
        <v>2.2000000000000002</v>
      </c>
      <c r="D38">
        <f>24*9+12+24/60</f>
        <v>228.4</v>
      </c>
    </row>
    <row r="39" spans="1:4" x14ac:dyDescent="0.25">
      <c r="B39">
        <v>12</v>
      </c>
      <c r="D39">
        <f>24*9+18+14/60</f>
        <v>234.23333333333332</v>
      </c>
    </row>
    <row r="40" spans="1:4" x14ac:dyDescent="0.25">
      <c r="A40" t="s">
        <v>21</v>
      </c>
      <c r="B40">
        <v>2</v>
      </c>
      <c r="D40">
        <f>24*10+55/60</f>
        <v>240.91666666666666</v>
      </c>
    </row>
    <row r="41" spans="1:4" x14ac:dyDescent="0.25">
      <c r="B41">
        <v>12.7</v>
      </c>
      <c r="D41">
        <f>240+6+38/60</f>
        <v>246.63333333333333</v>
      </c>
    </row>
    <row r="42" spans="1:4" x14ac:dyDescent="0.25">
      <c r="B42">
        <v>1.5</v>
      </c>
      <c r="D42">
        <f>240+13+24/60</f>
        <v>253.4</v>
      </c>
    </row>
    <row r="43" spans="1:4" x14ac:dyDescent="0.25">
      <c r="B43">
        <v>12.9</v>
      </c>
      <c r="D43">
        <f>240+19+6/60</f>
        <v>259.10000000000002</v>
      </c>
    </row>
    <row r="44" spans="1:4" x14ac:dyDescent="0.25">
      <c r="A44" t="s">
        <v>22</v>
      </c>
      <c r="B44">
        <v>1.4</v>
      </c>
      <c r="D44">
        <f>24*11+1+53/60</f>
        <v>265.88333333333333</v>
      </c>
    </row>
    <row r="45" spans="1:4" x14ac:dyDescent="0.25">
      <c r="B45">
        <v>13.5</v>
      </c>
      <c r="D45">
        <f>24*11+7+28/60</f>
        <v>271.46666666666664</v>
      </c>
    </row>
    <row r="46" spans="1:4" x14ac:dyDescent="0.25">
      <c r="B46">
        <v>1</v>
      </c>
      <c r="D46">
        <f>24*11+14+21/60</f>
        <v>278.35000000000002</v>
      </c>
    </row>
    <row r="47" spans="1:4" x14ac:dyDescent="0.25">
      <c r="B47">
        <v>13.5</v>
      </c>
      <c r="D47">
        <f>24*11+19+55/60</f>
        <v>283.91666666666669</v>
      </c>
    </row>
    <row r="48" spans="1:4" x14ac:dyDescent="0.25">
      <c r="A48" t="s">
        <v>23</v>
      </c>
      <c r="B48">
        <v>0.9</v>
      </c>
      <c r="D48">
        <f>24*12+2+45/60</f>
        <v>290.75</v>
      </c>
    </row>
    <row r="49" spans="1:4" x14ac:dyDescent="0.25">
      <c r="B49">
        <v>14</v>
      </c>
      <c r="D49">
        <f>24*12+8+14/60</f>
        <v>296.23333333333335</v>
      </c>
    </row>
    <row r="50" spans="1:4" x14ac:dyDescent="0.25">
      <c r="B50">
        <v>0.5</v>
      </c>
      <c r="D50">
        <f>24*12+15+11/60</f>
        <v>303.18333333333334</v>
      </c>
    </row>
    <row r="51" spans="1:4" x14ac:dyDescent="0.25">
      <c r="B51">
        <v>13.9</v>
      </c>
      <c r="D51">
        <f>24*12+20+41/60</f>
        <v>308.68333333333334</v>
      </c>
    </row>
    <row r="52" spans="1:4" x14ac:dyDescent="0.25">
      <c r="A52" t="s">
        <v>24</v>
      </c>
      <c r="B52">
        <v>0.6</v>
      </c>
      <c r="D52">
        <f>24*13+3+31/60</f>
        <v>315.51666666666665</v>
      </c>
    </row>
    <row r="53" spans="1:4" x14ac:dyDescent="0.25">
      <c r="B53">
        <v>14.2</v>
      </c>
      <c r="D53">
        <f>24*13+8+59/60</f>
        <v>320.98333333333335</v>
      </c>
    </row>
    <row r="54" spans="1:4" x14ac:dyDescent="0.25">
      <c r="B54">
        <v>0.3</v>
      </c>
      <c r="D54">
        <f>24*13+15+55/60</f>
        <v>327.91666666666669</v>
      </c>
    </row>
    <row r="55" spans="1:4" x14ac:dyDescent="0.25">
      <c r="B55">
        <v>13.9</v>
      </c>
      <c r="D55">
        <f>24*13+21+23/60</f>
        <v>333.38333333333333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0585-E60E-4CDA-B70A-1EF062C80CB6}">
  <dimension ref="A1:H55"/>
  <sheetViews>
    <sheetView topLeftCell="A19" workbookViewId="0">
      <selection activeCell="D54" sqref="D54"/>
    </sheetView>
  </sheetViews>
  <sheetFormatPr defaultRowHeight="15" x14ac:dyDescent="0.25"/>
  <cols>
    <col min="2" max="2" width="6.28515625" bestFit="1" customWidth="1"/>
    <col min="3" max="3" width="11.85546875" bestFit="1" customWidth="1"/>
    <col min="4" max="4" width="10.42578125" bestFit="1" customWidth="1"/>
    <col min="7" max="7" width="12.140625" bestFit="1" customWidth="1"/>
    <col min="8" max="8" width="11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11</v>
      </c>
      <c r="B2">
        <v>3.4</v>
      </c>
      <c r="C2" s="1">
        <v>8.819444444444445E-2</v>
      </c>
      <c r="D2">
        <f>2+7/60</f>
        <v>2.1166666666666667</v>
      </c>
      <c r="E2">
        <v>0.50586622999999997</v>
      </c>
      <c r="F2">
        <f>$E$2*D2</f>
        <v>1.0707501868333333</v>
      </c>
      <c r="G2">
        <f>COS(F2)</f>
        <v>0.47946602971953928</v>
      </c>
      <c r="H2">
        <f>SIN(F2)</f>
        <v>0.87756044028031588</v>
      </c>
    </row>
    <row r="3" spans="1:8" x14ac:dyDescent="0.25">
      <c r="B3">
        <v>0.8</v>
      </c>
      <c r="C3" s="1">
        <v>0.33194444444444443</v>
      </c>
      <c r="D3">
        <f>7+58/60</f>
        <v>7.9666666666666668</v>
      </c>
      <c r="F3">
        <f t="shared" ref="F3:F28" si="0">$E$2*D3</f>
        <v>4.0300676323333331</v>
      </c>
      <c r="G3">
        <f t="shared" ref="G3:G28" si="1">COS(F3)</f>
        <v>-0.630596345138693</v>
      </c>
      <c r="H3">
        <f t="shared" ref="H3:H28" si="2">SIN(F3)</f>
        <v>-0.77611097756552994</v>
      </c>
    </row>
    <row r="4" spans="1:8" x14ac:dyDescent="0.25">
      <c r="B4">
        <v>4</v>
      </c>
      <c r="C4" s="1">
        <v>0.59652777777777777</v>
      </c>
      <c r="D4">
        <f>14+19/60</f>
        <v>14.316666666666666</v>
      </c>
      <c r="F4">
        <f t="shared" si="0"/>
        <v>7.2423181928333324</v>
      </c>
      <c r="G4">
        <f t="shared" si="1"/>
        <v>0.57423010313346534</v>
      </c>
      <c r="H4">
        <f t="shared" si="2"/>
        <v>0.8186939529856867</v>
      </c>
    </row>
    <row r="5" spans="1:8" x14ac:dyDescent="0.25">
      <c r="B5">
        <v>0.7</v>
      </c>
      <c r="C5" s="1">
        <v>0.84583333333333333</v>
      </c>
      <c r="D5">
        <f>20+18/60</f>
        <v>20.3</v>
      </c>
      <c r="F5">
        <f t="shared" si="0"/>
        <v>10.269084468999999</v>
      </c>
      <c r="G5">
        <f t="shared" si="1"/>
        <v>-0.66424983465092868</v>
      </c>
      <c r="H5">
        <f t="shared" si="2"/>
        <v>-0.7475106401692313</v>
      </c>
    </row>
    <row r="6" spans="1:8" x14ac:dyDescent="0.25">
      <c r="A6" t="s">
        <v>12</v>
      </c>
      <c r="B6">
        <v>3.4</v>
      </c>
      <c r="C6" s="1">
        <v>0.11180555555555556</v>
      </c>
      <c r="D6">
        <f>24+2+41/60</f>
        <v>26.683333333333334</v>
      </c>
      <c r="F6">
        <f t="shared" si="0"/>
        <v>13.498197237166666</v>
      </c>
      <c r="G6">
        <f t="shared" si="1"/>
        <v>0.59636872848312716</v>
      </c>
      <c r="H6">
        <f t="shared" si="2"/>
        <v>0.80271062014116779</v>
      </c>
    </row>
    <row r="7" spans="1:8" x14ac:dyDescent="0.25">
      <c r="B7">
        <v>0.8</v>
      </c>
      <c r="C7" s="1">
        <v>0.3576388888888889</v>
      </c>
      <c r="D7">
        <f>24+8+35/60</f>
        <v>32.583333333333336</v>
      </c>
      <c r="F7">
        <f t="shared" si="0"/>
        <v>16.482807994166667</v>
      </c>
      <c r="G7">
        <f t="shared" si="1"/>
        <v>-0.71452967300472292</v>
      </c>
      <c r="H7">
        <f t="shared" si="2"/>
        <v>-0.69960513605587815</v>
      </c>
    </row>
    <row r="8" spans="1:8" x14ac:dyDescent="0.25">
      <c r="B8">
        <v>3.9</v>
      </c>
      <c r="C8" s="1">
        <v>0.62013888888888891</v>
      </c>
      <c r="D8">
        <f>24+14+53/60</f>
        <v>38.883333333333333</v>
      </c>
      <c r="F8">
        <f t="shared" si="0"/>
        <v>19.669765243166665</v>
      </c>
      <c r="G8">
        <f t="shared" si="1"/>
        <v>0.68206814770746949</v>
      </c>
      <c r="H8">
        <f t="shared" si="2"/>
        <v>0.73128861736177841</v>
      </c>
    </row>
    <row r="9" spans="1:8" x14ac:dyDescent="0.25">
      <c r="B9">
        <v>0.7</v>
      </c>
      <c r="C9" s="1">
        <v>0.87152777777777779</v>
      </c>
      <c r="D9">
        <f>24+20+55/60</f>
        <v>44.916666666666664</v>
      </c>
      <c r="F9">
        <f t="shared" si="0"/>
        <v>22.721824830833331</v>
      </c>
      <c r="G9">
        <f t="shared" si="1"/>
        <v>-0.74472325759199431</v>
      </c>
      <c r="H9">
        <f t="shared" si="2"/>
        <v>-0.66737341091893077</v>
      </c>
    </row>
    <row r="10" spans="1:8" x14ac:dyDescent="0.25">
      <c r="A10" t="s">
        <v>13</v>
      </c>
      <c r="B10">
        <v>3.4</v>
      </c>
      <c r="C10" s="1">
        <v>0.13680555555555554</v>
      </c>
      <c r="D10">
        <f>24*2+3+17/60</f>
        <v>51.283333333333331</v>
      </c>
      <c r="F10">
        <f t="shared" si="0"/>
        <v>25.942506495166665</v>
      </c>
      <c r="G10">
        <f t="shared" si="1"/>
        <v>0.68966842845543597</v>
      </c>
      <c r="H10">
        <f t="shared" si="2"/>
        <v>0.7241253060015298</v>
      </c>
    </row>
    <row r="11" spans="1:8" x14ac:dyDescent="0.25">
      <c r="B11">
        <v>0.9</v>
      </c>
      <c r="C11" s="1">
        <v>0.38541666666666669</v>
      </c>
      <c r="D11">
        <f>24*2+9+15/60</f>
        <v>57.25</v>
      </c>
      <c r="F11">
        <f t="shared" si="0"/>
        <v>28.960841667499999</v>
      </c>
      <c r="G11">
        <f t="shared" si="1"/>
        <v>-0.77346423216710269</v>
      </c>
      <c r="H11">
        <f t="shared" si="2"/>
        <v>-0.63383994948106115</v>
      </c>
    </row>
    <row r="12" spans="1:8" x14ac:dyDescent="0.25">
      <c r="B12">
        <v>3.8</v>
      </c>
      <c r="C12" s="1">
        <v>0.64513888888888882</v>
      </c>
      <c r="D12">
        <f>24*2+15+29/60</f>
        <v>63.483333333333334</v>
      </c>
      <c r="F12">
        <f t="shared" si="0"/>
        <v>32.114074501166662</v>
      </c>
      <c r="G12">
        <f t="shared" si="1"/>
        <v>0.7660339884172207</v>
      </c>
      <c r="H12">
        <f t="shared" si="2"/>
        <v>0.64280006890914798</v>
      </c>
    </row>
    <row r="13" spans="1:8" x14ac:dyDescent="0.25">
      <c r="B13">
        <v>0.8</v>
      </c>
      <c r="C13" s="1">
        <v>0.9</v>
      </c>
      <c r="D13">
        <f>24*2+21+36/60</f>
        <v>69.599999999999994</v>
      </c>
      <c r="F13">
        <f t="shared" si="0"/>
        <v>35.208289607999994</v>
      </c>
      <c r="G13">
        <f t="shared" si="1"/>
        <v>-0.79561731552918502</v>
      </c>
      <c r="H13">
        <f t="shared" si="2"/>
        <v>-0.60579954376850875</v>
      </c>
    </row>
    <row r="14" spans="1:8" x14ac:dyDescent="0.25">
      <c r="A14" t="s">
        <v>14</v>
      </c>
      <c r="B14">
        <v>3.3</v>
      </c>
      <c r="C14" s="1">
        <v>0.16388888888888889</v>
      </c>
      <c r="D14">
        <f>24*3+3+56/60</f>
        <v>75.933333333333337</v>
      </c>
      <c r="F14">
        <f t="shared" si="0"/>
        <v>38.412109064666666</v>
      </c>
      <c r="G14">
        <f t="shared" si="1"/>
        <v>0.75640478235687925</v>
      </c>
      <c r="H14">
        <f t="shared" si="2"/>
        <v>0.65410381838637977</v>
      </c>
    </row>
    <row r="15" spans="1:8" x14ac:dyDescent="0.25">
      <c r="B15">
        <v>1</v>
      </c>
      <c r="C15" s="1">
        <v>0.4152777777777778</v>
      </c>
      <c r="D15">
        <f>24*3+9+58/60</f>
        <v>81.966666666666669</v>
      </c>
      <c r="F15">
        <f t="shared" si="0"/>
        <v>41.464168652333335</v>
      </c>
      <c r="G15">
        <f t="shared" si="1"/>
        <v>-0.81186078102646952</v>
      </c>
      <c r="H15">
        <f t="shared" si="2"/>
        <v>-0.58385107024916116</v>
      </c>
    </row>
    <row r="16" spans="1:8" x14ac:dyDescent="0.25">
      <c r="B16">
        <v>3.4</v>
      </c>
      <c r="C16" s="1">
        <v>0.67499999999999993</v>
      </c>
      <c r="D16">
        <f>24*3+16+12/60</f>
        <v>88.2</v>
      </c>
      <c r="F16">
        <f t="shared" si="0"/>
        <v>44.617401485999999</v>
      </c>
      <c r="G16">
        <f t="shared" si="1"/>
        <v>0.80500980247496323</v>
      </c>
      <c r="H16">
        <f t="shared" si="2"/>
        <v>0.59326150888054485</v>
      </c>
    </row>
    <row r="17" spans="1:8" x14ac:dyDescent="0.25">
      <c r="B17">
        <v>1</v>
      </c>
      <c r="C17" s="1">
        <v>0.93125000000000002</v>
      </c>
      <c r="D17">
        <f>24*3+22+21/60</f>
        <v>94.35</v>
      </c>
      <c r="F17">
        <f t="shared" si="0"/>
        <v>47.728478800499992</v>
      </c>
      <c r="G17">
        <f t="shared" si="1"/>
        <v>-0.8227357912726655</v>
      </c>
      <c r="H17">
        <f t="shared" si="2"/>
        <v>-0.56842397711474224</v>
      </c>
    </row>
    <row r="18" spans="1:8" x14ac:dyDescent="0.25">
      <c r="A18" t="s">
        <v>15</v>
      </c>
      <c r="B18">
        <v>3.2</v>
      </c>
      <c r="C18" s="1">
        <v>0.19791666666666666</v>
      </c>
      <c r="D18">
        <f>24*4+4+45/60</f>
        <v>100.75</v>
      </c>
      <c r="F18">
        <f t="shared" si="0"/>
        <v>50.966022672499996</v>
      </c>
      <c r="G18">
        <f t="shared" si="1"/>
        <v>0.76449405959989258</v>
      </c>
      <c r="H18">
        <f t="shared" si="2"/>
        <v>0.64463077248644896</v>
      </c>
    </row>
    <row r="19" spans="1:8" x14ac:dyDescent="0.25">
      <c r="B19">
        <v>1.1000000000000001</v>
      </c>
      <c r="C19" s="1">
        <v>0.45069444444444445</v>
      </c>
      <c r="D19">
        <f>24*4+10+49/60</f>
        <v>106.81666666666666</v>
      </c>
      <c r="F19">
        <f t="shared" si="0"/>
        <v>54.034944467833327</v>
      </c>
      <c r="G19">
        <f t="shared" si="1"/>
        <v>-0.809280930554237</v>
      </c>
      <c r="H19">
        <f t="shared" si="2"/>
        <v>-0.58742180368221619</v>
      </c>
    </row>
    <row r="20" spans="1:8" x14ac:dyDescent="0.25">
      <c r="B20">
        <v>3.4</v>
      </c>
      <c r="C20" s="1">
        <v>0.71319444444444446</v>
      </c>
      <c r="D20">
        <f>24*4+17+7/60</f>
        <v>113.11666666666666</v>
      </c>
      <c r="F20">
        <f t="shared" si="0"/>
        <v>57.221901716833329</v>
      </c>
      <c r="G20">
        <f t="shared" si="1"/>
        <v>0.78180933159674293</v>
      </c>
      <c r="H20">
        <f t="shared" si="2"/>
        <v>0.6235175771606235</v>
      </c>
    </row>
    <row r="21" spans="1:8" x14ac:dyDescent="0.25">
      <c r="B21">
        <v>1</v>
      </c>
      <c r="C21" s="1">
        <v>0.96944444444444444</v>
      </c>
      <c r="D21">
        <f>24*4+23+16/60</f>
        <v>119.26666666666667</v>
      </c>
      <c r="F21">
        <f t="shared" si="0"/>
        <v>60.332979031333331</v>
      </c>
      <c r="G21">
        <f t="shared" si="1"/>
        <v>-0.80046925243192868</v>
      </c>
      <c r="H21">
        <f t="shared" si="2"/>
        <v>-0.59937381984123173</v>
      </c>
    </row>
    <row r="22" spans="1:8" x14ac:dyDescent="0.25">
      <c r="A22" t="s">
        <v>16</v>
      </c>
      <c r="B22">
        <v>3.1</v>
      </c>
      <c r="C22" s="1">
        <v>0.24166666666666667</v>
      </c>
      <c r="D22">
        <f>24*5+5+48/60</f>
        <v>125.8</v>
      </c>
      <c r="F22">
        <f t="shared" si="0"/>
        <v>63.637971733999997</v>
      </c>
      <c r="G22">
        <f t="shared" si="1"/>
        <v>0.69230443551269116</v>
      </c>
      <c r="H22">
        <f t="shared" si="2"/>
        <v>0.72160554915372843</v>
      </c>
    </row>
    <row r="23" spans="1:8" x14ac:dyDescent="0.25">
      <c r="B23">
        <v>1.2</v>
      </c>
      <c r="C23" s="1">
        <v>0.49583333333333335</v>
      </c>
      <c r="D23">
        <f>24*5+11+54/60</f>
        <v>131.9</v>
      </c>
      <c r="F23">
        <f t="shared" si="0"/>
        <v>66.723755737000005</v>
      </c>
      <c r="G23">
        <f t="shared" si="1"/>
        <v>-0.7314775177845253</v>
      </c>
      <c r="H23">
        <f t="shared" si="2"/>
        <v>-0.68186555931194348</v>
      </c>
    </row>
    <row r="24" spans="1:8" x14ac:dyDescent="0.25">
      <c r="B24">
        <v>3.3</v>
      </c>
      <c r="C24" s="1">
        <v>0.76111111111111107</v>
      </c>
      <c r="D24">
        <f>24*5+18+16/60</f>
        <v>138.26666666666668</v>
      </c>
      <c r="F24">
        <f t="shared" si="0"/>
        <v>69.944437401333332</v>
      </c>
      <c r="G24">
        <f t="shared" si="1"/>
        <v>0.67531911842619941</v>
      </c>
      <c r="H24">
        <f t="shared" si="2"/>
        <v>0.73752565263051073</v>
      </c>
    </row>
    <row r="25" spans="1:8" x14ac:dyDescent="0.25">
      <c r="A25" t="s">
        <v>17</v>
      </c>
      <c r="B25">
        <v>1.1000000000000001</v>
      </c>
      <c r="C25" s="1">
        <v>1.8749999999999999E-2</v>
      </c>
      <c r="D25">
        <f>24*6+27/60</f>
        <v>144.44999999999999</v>
      </c>
      <c r="F25">
        <f t="shared" si="0"/>
        <v>73.072376923499988</v>
      </c>
      <c r="G25">
        <f t="shared" si="1"/>
        <v>-0.68532539878753451</v>
      </c>
      <c r="H25">
        <f t="shared" si="2"/>
        <v>-0.72823697913296515</v>
      </c>
    </row>
    <row r="26" spans="1:8" x14ac:dyDescent="0.25">
      <c r="B26">
        <v>3.1</v>
      </c>
      <c r="C26" s="1">
        <v>0.28958333333333336</v>
      </c>
      <c r="D26">
        <f>24*6+6+57/50</f>
        <v>151.13999999999999</v>
      </c>
      <c r="F26">
        <f t="shared" si="0"/>
        <v>76.456622002199992</v>
      </c>
      <c r="G26">
        <f t="shared" si="1"/>
        <v>0.49026869196827938</v>
      </c>
      <c r="H26">
        <f t="shared" si="2"/>
        <v>0.87157134514376522</v>
      </c>
    </row>
    <row r="27" spans="1:8" x14ac:dyDescent="0.25">
      <c r="B27">
        <v>1.2</v>
      </c>
      <c r="C27" s="1">
        <v>0.56319444444444444</v>
      </c>
      <c r="D27">
        <f>24*6+13+31/60</f>
        <v>157.51666666666668</v>
      </c>
      <c r="F27">
        <f t="shared" si="0"/>
        <v>79.682362328833335</v>
      </c>
      <c r="G27">
        <f t="shared" si="1"/>
        <v>-0.41527978205535621</v>
      </c>
      <c r="H27">
        <f t="shared" si="2"/>
        <v>-0.90969374111074097</v>
      </c>
    </row>
    <row r="28" spans="1:8" x14ac:dyDescent="0.25">
      <c r="B28">
        <v>3.3</v>
      </c>
      <c r="C28" s="1">
        <v>0.81180555555555556</v>
      </c>
      <c r="D28">
        <f>24*6+19+29/60</f>
        <v>163.48333333333332</v>
      </c>
      <c r="F28">
        <f t="shared" si="0"/>
        <v>82.700697501166658</v>
      </c>
      <c r="G28">
        <f t="shared" si="1"/>
        <v>0.52397208691493702</v>
      </c>
      <c r="H28">
        <f t="shared" si="2"/>
        <v>0.85173543552796116</v>
      </c>
    </row>
    <row r="29" spans="1:8" x14ac:dyDescent="0.25">
      <c r="B29">
        <v>1.1000000000000001</v>
      </c>
      <c r="D29">
        <f>24*7+1+57/60</f>
        <v>169.95</v>
      </c>
    </row>
    <row r="30" spans="1:8" x14ac:dyDescent="0.25">
      <c r="B30">
        <v>3.2</v>
      </c>
      <c r="D30">
        <f>24*7+8+5/60</f>
        <v>176.08333333333334</v>
      </c>
    </row>
    <row r="31" spans="1:8" x14ac:dyDescent="0.25">
      <c r="B31">
        <v>1.1000000000000001</v>
      </c>
      <c r="D31">
        <f>24*7+14+44/60</f>
        <v>182.73333333333332</v>
      </c>
    </row>
    <row r="32" spans="1:8" x14ac:dyDescent="0.25">
      <c r="B32">
        <v>3.4</v>
      </c>
      <c r="D32">
        <f>24*7+20+38/60</f>
        <v>188.63333333333333</v>
      </c>
    </row>
    <row r="33" spans="2:4" x14ac:dyDescent="0.25">
      <c r="B33">
        <v>1</v>
      </c>
      <c r="D33">
        <f>24*8+3+1/60</f>
        <v>195.01666666666668</v>
      </c>
    </row>
    <row r="34" spans="2:4" x14ac:dyDescent="0.25">
      <c r="B34">
        <v>3.4</v>
      </c>
      <c r="D34">
        <f>24*8+9+9/60</f>
        <v>201.15</v>
      </c>
    </row>
    <row r="35" spans="2:4" x14ac:dyDescent="0.25">
      <c r="B35">
        <v>0.8</v>
      </c>
      <c r="D35">
        <f>24*8+15+4/6</f>
        <v>207.66666666666666</v>
      </c>
    </row>
    <row r="36" spans="2:4" x14ac:dyDescent="0.25">
      <c r="B36">
        <v>3.5</v>
      </c>
      <c r="D36">
        <f>24*8+21+4/6</f>
        <v>213.66666666666666</v>
      </c>
    </row>
    <row r="37" spans="2:4" x14ac:dyDescent="0.25">
      <c r="B37">
        <v>0.8</v>
      </c>
      <c r="D37">
        <f>24*9+3+52/60</f>
        <v>219.86666666666667</v>
      </c>
    </row>
    <row r="38" spans="2:4" x14ac:dyDescent="0.25">
      <c r="B38">
        <v>3.7</v>
      </c>
      <c r="D38">
        <f>24*9+10+3/60</f>
        <v>226.05</v>
      </c>
    </row>
    <row r="39" spans="2:4" x14ac:dyDescent="0.25">
      <c r="B39">
        <v>0.6</v>
      </c>
      <c r="D39">
        <f>24*9+16+29/60</f>
        <v>232.48333333333332</v>
      </c>
    </row>
    <row r="40" spans="2:4" x14ac:dyDescent="0.25">
      <c r="B40">
        <v>3.7</v>
      </c>
      <c r="D40">
        <f>24*9+22+32/60</f>
        <v>238.53333333333333</v>
      </c>
    </row>
    <row r="41" spans="2:4" x14ac:dyDescent="0.25">
      <c r="B41">
        <v>0.7</v>
      </c>
      <c r="D41">
        <f>240+4+38/60</f>
        <v>244.63333333333333</v>
      </c>
    </row>
    <row r="42" spans="2:4" x14ac:dyDescent="0.25">
      <c r="B42">
        <v>3.9</v>
      </c>
      <c r="D42">
        <f>240+10+49/60</f>
        <v>250.81666666666666</v>
      </c>
    </row>
    <row r="43" spans="2:4" x14ac:dyDescent="0.25">
      <c r="B43">
        <v>0.4</v>
      </c>
      <c r="D43">
        <f>240+17+13/60</f>
        <v>257.21666666666664</v>
      </c>
    </row>
    <row r="44" spans="2:4" x14ac:dyDescent="0.25">
      <c r="B44">
        <v>3.8</v>
      </c>
      <c r="D44">
        <f>240+23+19/60</f>
        <v>263.31666666666666</v>
      </c>
    </row>
    <row r="45" spans="2:4" x14ac:dyDescent="0.25">
      <c r="B45">
        <v>0.6</v>
      </c>
      <c r="D45">
        <f>24*11+5+21/60</f>
        <v>269.35000000000002</v>
      </c>
    </row>
    <row r="46" spans="2:4" x14ac:dyDescent="0.25">
      <c r="B46">
        <v>4.0999999999999996</v>
      </c>
      <c r="D46">
        <f>24*11+11+33/60</f>
        <v>275.55</v>
      </c>
    </row>
    <row r="47" spans="2:4" x14ac:dyDescent="0.25">
      <c r="B47">
        <v>0.3</v>
      </c>
      <c r="D47">
        <f>24*11+17+56/60</f>
        <v>281.93333333333334</v>
      </c>
    </row>
    <row r="48" spans="2:4" x14ac:dyDescent="0.25">
      <c r="B48">
        <v>3.8</v>
      </c>
      <c r="D48">
        <f>24*12+4/60</f>
        <v>288.06666666666666</v>
      </c>
    </row>
    <row r="49" spans="2:4" x14ac:dyDescent="0.25">
      <c r="B49">
        <v>0.6</v>
      </c>
      <c r="D49">
        <f>24*12+6+4/60</f>
        <v>294.06666666666666</v>
      </c>
    </row>
    <row r="50" spans="2:4" x14ac:dyDescent="0.25">
      <c r="B50">
        <v>4.2</v>
      </c>
      <c r="D50">
        <f>24*12+12+18/60</f>
        <v>300.3</v>
      </c>
    </row>
    <row r="51" spans="2:4" x14ac:dyDescent="0.25">
      <c r="B51">
        <v>0.2</v>
      </c>
      <c r="D51">
        <f>24*12+18+39/60</f>
        <v>306.64999999999998</v>
      </c>
    </row>
    <row r="52" spans="2:4" x14ac:dyDescent="0.25">
      <c r="B52">
        <v>3.8</v>
      </c>
      <c r="D52">
        <f>24*13+50/60</f>
        <v>312.83333333333331</v>
      </c>
    </row>
    <row r="53" spans="2:4" x14ac:dyDescent="0.25">
      <c r="B53">
        <v>0.5</v>
      </c>
      <c r="D53">
        <f>24*13+6+47/60</f>
        <v>318.78333333333336</v>
      </c>
    </row>
    <row r="54" spans="2:4" x14ac:dyDescent="0.25">
      <c r="B54">
        <v>4.3</v>
      </c>
      <c r="D54">
        <f>24*13+13+3/60</f>
        <v>325.05</v>
      </c>
    </row>
    <row r="55" spans="2:4" x14ac:dyDescent="0.25">
      <c r="B55">
        <v>0.2</v>
      </c>
      <c r="D55">
        <f>24*13+19+23/60</f>
        <v>331.38333333333333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CB0A-C846-4436-ABD8-C489410C8E62}">
  <dimension ref="A1:I31"/>
  <sheetViews>
    <sheetView topLeftCell="A25" workbookViewId="0">
      <selection activeCell="A32" sqref="A32"/>
    </sheetView>
  </sheetViews>
  <sheetFormatPr defaultRowHeight="15" x14ac:dyDescent="0.25"/>
  <sheetData>
    <row r="1" spans="1:9" x14ac:dyDescent="0.25">
      <c r="A1" t="s">
        <v>25</v>
      </c>
      <c r="B1" t="s">
        <v>1</v>
      </c>
      <c r="C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s="2">
        <v>2.2000000000000002</v>
      </c>
      <c r="B2" s="1">
        <v>0.17222222222222225</v>
      </c>
      <c r="C2">
        <f>4+8/60</f>
        <v>4.1333333333333337</v>
      </c>
      <c r="F2">
        <v>3.2081383628269999</v>
      </c>
      <c r="G2">
        <v>2.9745741526581799</v>
      </c>
      <c r="H2" t="s">
        <v>31</v>
      </c>
      <c r="I2">
        <f>(F2-C2)</f>
        <v>-0.92519497050633381</v>
      </c>
    </row>
    <row r="3" spans="1:9" x14ac:dyDescent="0.25">
      <c r="A3" s="2">
        <v>12</v>
      </c>
      <c r="B3" s="1">
        <v>0.40972222222222227</v>
      </c>
      <c r="C3">
        <f>9+50/60</f>
        <v>9.8333333333333339</v>
      </c>
      <c r="F3">
        <v>9.4184389687637502</v>
      </c>
      <c r="G3">
        <v>10.8921235713418</v>
      </c>
      <c r="H3" t="s">
        <v>32</v>
      </c>
      <c r="I3">
        <f t="shared" ref="I3:I28" si="0">(F3-C3)</f>
        <v>-0.41489436456958373</v>
      </c>
    </row>
    <row r="4" spans="1:9" x14ac:dyDescent="0.25">
      <c r="A4" s="2">
        <v>2.4</v>
      </c>
      <c r="B4" s="1">
        <v>0.68194444444444446</v>
      </c>
      <c r="C4">
        <f>16+22/60</f>
        <v>16.366666666666667</v>
      </c>
      <c r="F4">
        <v>15.6287395747005</v>
      </c>
      <c r="G4">
        <v>2.9745741526581799</v>
      </c>
      <c r="H4" t="s">
        <v>31</v>
      </c>
      <c r="I4">
        <f t="shared" si="0"/>
        <v>-0.73792709196616713</v>
      </c>
    </row>
    <row r="5" spans="1:9" x14ac:dyDescent="0.25">
      <c r="A5" s="2">
        <v>11.7</v>
      </c>
      <c r="B5" s="1">
        <v>0.92152777777777783</v>
      </c>
      <c r="C5">
        <f>22+7/60</f>
        <v>22.116666666666667</v>
      </c>
      <c r="F5">
        <v>21.839040180637198</v>
      </c>
      <c r="G5">
        <v>10.8921235713418</v>
      </c>
      <c r="H5" t="s">
        <v>32</v>
      </c>
      <c r="I5">
        <f t="shared" si="0"/>
        <v>-0.27762648602946882</v>
      </c>
    </row>
    <row r="6" spans="1:9" x14ac:dyDescent="0.25">
      <c r="A6" s="2">
        <v>2.2999999999999998</v>
      </c>
      <c r="B6" s="1">
        <v>0.18541666666666667</v>
      </c>
      <c r="C6">
        <f>24+4+27/60</f>
        <v>28.45</v>
      </c>
      <c r="F6">
        <v>28.049340786574</v>
      </c>
      <c r="G6">
        <v>2.9745741526581799</v>
      </c>
      <c r="H6" t="s">
        <v>31</v>
      </c>
      <c r="I6">
        <f t="shared" si="0"/>
        <v>-0.40065921342599964</v>
      </c>
    </row>
    <row r="7" spans="1:9" x14ac:dyDescent="0.25">
      <c r="A7" s="2">
        <v>11.7</v>
      </c>
      <c r="B7" s="1">
        <v>0.4284722222222222</v>
      </c>
      <c r="C7">
        <f>24+10+17/60</f>
        <v>34.283333333333331</v>
      </c>
      <c r="F7">
        <v>34.259641392510702</v>
      </c>
      <c r="G7">
        <v>10.8921235713418</v>
      </c>
      <c r="H7" t="s">
        <v>32</v>
      </c>
      <c r="I7">
        <f t="shared" si="0"/>
        <v>-2.3691940822629931E-2</v>
      </c>
    </row>
    <row r="8" spans="1:9" x14ac:dyDescent="0.25">
      <c r="A8" s="2">
        <v>2.4</v>
      </c>
      <c r="B8" s="1">
        <v>0.6958333333333333</v>
      </c>
      <c r="C8">
        <f>24+16+42/60</f>
        <v>40.700000000000003</v>
      </c>
      <c r="F8">
        <v>40.469941998447503</v>
      </c>
      <c r="G8">
        <v>2.9745741526581799</v>
      </c>
      <c r="H8" t="s">
        <v>31</v>
      </c>
      <c r="I8">
        <f t="shared" si="0"/>
        <v>-0.2300580015525</v>
      </c>
    </row>
    <row r="9" spans="1:9" x14ac:dyDescent="0.25">
      <c r="A9" s="2">
        <v>11.4</v>
      </c>
      <c r="B9" s="1">
        <v>0.94027777777777777</v>
      </c>
      <c r="C9">
        <f>24+22+34/60</f>
        <v>46.56666666666667</v>
      </c>
      <c r="F9">
        <v>46.680242604384198</v>
      </c>
      <c r="G9">
        <v>10.8921235713418</v>
      </c>
      <c r="H9" t="s">
        <v>32</v>
      </c>
      <c r="I9">
        <f t="shared" si="0"/>
        <v>0.11357593771752761</v>
      </c>
    </row>
    <row r="10" spans="1:9" x14ac:dyDescent="0.25">
      <c r="A10" s="2">
        <v>2.4</v>
      </c>
      <c r="B10" s="1">
        <v>0.20277777777777781</v>
      </c>
      <c r="C10">
        <f>24*2+4+52/60</f>
        <v>52.866666666666667</v>
      </c>
      <c r="F10">
        <v>52.890543210320999</v>
      </c>
      <c r="G10">
        <v>2.9745741526581799</v>
      </c>
      <c r="H10" t="s">
        <v>31</v>
      </c>
      <c r="I10">
        <f t="shared" si="0"/>
        <v>2.3876543654331783E-2</v>
      </c>
    </row>
    <row r="11" spans="1:9" x14ac:dyDescent="0.25">
      <c r="A11" s="2">
        <v>11.5</v>
      </c>
      <c r="B11" s="1">
        <v>0.44791666666666669</v>
      </c>
      <c r="C11">
        <f>24+24+10+45/60</f>
        <v>58.75</v>
      </c>
      <c r="F11">
        <v>59.100843816257701</v>
      </c>
      <c r="G11">
        <v>10.8921235713418</v>
      </c>
      <c r="H11" t="s">
        <v>32</v>
      </c>
      <c r="I11">
        <f t="shared" si="0"/>
        <v>0.35084381625770078</v>
      </c>
    </row>
    <row r="12" spans="1:9" x14ac:dyDescent="0.25">
      <c r="A12" s="2">
        <v>2.5</v>
      </c>
      <c r="B12" s="1">
        <v>0.71458333333333324</v>
      </c>
      <c r="C12">
        <f>24+24+17+9/60</f>
        <v>65.150000000000006</v>
      </c>
      <c r="F12">
        <v>65.311144422194502</v>
      </c>
      <c r="G12">
        <v>2.9745741526581799</v>
      </c>
      <c r="H12" t="s">
        <v>31</v>
      </c>
      <c r="I12">
        <f t="shared" si="0"/>
        <v>0.16114442219449643</v>
      </c>
    </row>
    <row r="13" spans="1:9" x14ac:dyDescent="0.25">
      <c r="A13" s="2">
        <v>11.1</v>
      </c>
      <c r="B13" s="1">
        <v>0.96111111111111114</v>
      </c>
      <c r="C13">
        <f>24+24+23+4/60</f>
        <v>71.066666666666663</v>
      </c>
      <c r="F13">
        <v>71.521445028131197</v>
      </c>
      <c r="G13">
        <v>10.8921235713418</v>
      </c>
      <c r="H13" t="s">
        <v>32</v>
      </c>
      <c r="I13">
        <f t="shared" si="0"/>
        <v>0.45477836146453399</v>
      </c>
    </row>
    <row r="14" spans="1:9" x14ac:dyDescent="0.25">
      <c r="A14" s="2">
        <v>2.6</v>
      </c>
      <c r="B14" s="1">
        <v>0.22500000000000001</v>
      </c>
      <c r="C14">
        <f>24*3+5+24/60</f>
        <v>77.400000000000006</v>
      </c>
      <c r="F14">
        <v>77.731745634068005</v>
      </c>
      <c r="G14">
        <v>2.9745741526581799</v>
      </c>
      <c r="H14" t="s">
        <v>31</v>
      </c>
      <c r="I14">
        <f t="shared" si="0"/>
        <v>0.33174563406799962</v>
      </c>
    </row>
    <row r="15" spans="1:9" x14ac:dyDescent="0.25">
      <c r="A15" s="2">
        <v>11.1</v>
      </c>
      <c r="B15" s="1">
        <v>0.47152777777777777</v>
      </c>
      <c r="C15">
        <f>24*3+11+19/60</f>
        <v>83.316666666666663</v>
      </c>
      <c r="F15">
        <v>83.9420462400047</v>
      </c>
      <c r="G15">
        <v>10.8921235713418</v>
      </c>
      <c r="H15" t="s">
        <v>32</v>
      </c>
      <c r="I15">
        <f t="shared" si="0"/>
        <v>0.62537957333803718</v>
      </c>
    </row>
    <row r="16" spans="1:9" x14ac:dyDescent="0.25">
      <c r="A16" s="2">
        <v>2.8</v>
      </c>
      <c r="B16" s="1">
        <v>0.73819444444444438</v>
      </c>
      <c r="C16">
        <f>24*3+17+43/60</f>
        <v>89.716666666666669</v>
      </c>
      <c r="F16">
        <v>90.152346845941494</v>
      </c>
      <c r="G16">
        <v>2.9745741526581799</v>
      </c>
      <c r="H16" t="s">
        <v>31</v>
      </c>
      <c r="I16">
        <f t="shared" si="0"/>
        <v>0.43568017927482572</v>
      </c>
    </row>
    <row r="17" spans="1:9" x14ac:dyDescent="0.25">
      <c r="A17" s="2">
        <v>10.6</v>
      </c>
      <c r="B17" s="1">
        <v>0.98749999999999993</v>
      </c>
      <c r="C17">
        <f>24*3+23+42/60</f>
        <v>95.7</v>
      </c>
      <c r="F17">
        <v>96.362647451878203</v>
      </c>
      <c r="G17">
        <v>10.8921235713418</v>
      </c>
      <c r="H17" t="s">
        <v>32</v>
      </c>
      <c r="I17">
        <f t="shared" si="0"/>
        <v>0.6626474518782004</v>
      </c>
    </row>
    <row r="18" spans="1:9" x14ac:dyDescent="0.25">
      <c r="A18" s="2">
        <v>3.1</v>
      </c>
      <c r="B18" s="1">
        <v>0.25277777777777777</v>
      </c>
      <c r="C18">
        <f>24*4+6+4/60</f>
        <v>102.06666666666666</v>
      </c>
      <c r="F18">
        <v>102.572948057815</v>
      </c>
      <c r="G18">
        <v>2.9745741526581799</v>
      </c>
      <c r="H18" t="s">
        <v>31</v>
      </c>
      <c r="I18">
        <f t="shared" si="0"/>
        <v>0.50628139114833459</v>
      </c>
    </row>
    <row r="19" spans="1:9" x14ac:dyDescent="0.25">
      <c r="A19" s="2">
        <v>10.5</v>
      </c>
      <c r="B19" s="1">
        <v>0.50277777777777777</v>
      </c>
      <c r="C19">
        <f>24*4+12+4/60</f>
        <v>108.06666666666666</v>
      </c>
      <c r="F19">
        <v>108.783248663751</v>
      </c>
      <c r="G19">
        <v>10.8921235713418</v>
      </c>
      <c r="H19" t="s">
        <v>32</v>
      </c>
      <c r="I19">
        <f t="shared" si="0"/>
        <v>0.71658199708433301</v>
      </c>
    </row>
    <row r="20" spans="1:9" x14ac:dyDescent="0.25">
      <c r="A20" s="2">
        <v>3.3</v>
      </c>
      <c r="B20" s="1">
        <v>0.7680555555555556</v>
      </c>
      <c r="C20">
        <f>24*4+18+26/60</f>
        <v>114.43333333333334</v>
      </c>
      <c r="F20">
        <v>114.993549269688</v>
      </c>
      <c r="G20">
        <v>2.9745741526581799</v>
      </c>
      <c r="H20" t="s">
        <v>31</v>
      </c>
      <c r="I20">
        <f t="shared" si="0"/>
        <v>0.56021593635466616</v>
      </c>
    </row>
    <row r="21" spans="1:9" x14ac:dyDescent="0.25">
      <c r="A21" s="2">
        <v>10.1</v>
      </c>
      <c r="B21" s="1">
        <v>2.2222222222222223E-2</v>
      </c>
      <c r="C21">
        <f>24*5+32/60</f>
        <v>120.53333333333333</v>
      </c>
      <c r="F21">
        <v>121.203849875625</v>
      </c>
      <c r="G21">
        <v>10.8921235713418</v>
      </c>
      <c r="H21" t="s">
        <v>32</v>
      </c>
      <c r="I21">
        <f t="shared" si="0"/>
        <v>0.67051654229166502</v>
      </c>
    </row>
    <row r="22" spans="1:9" x14ac:dyDescent="0.25">
      <c r="A22" s="2">
        <v>3.7</v>
      </c>
      <c r="B22" s="1">
        <v>0.28888888888888892</v>
      </c>
      <c r="C22">
        <f>24*5+6+56/60</f>
        <v>126.93333333333334</v>
      </c>
      <c r="F22">
        <v>127.414150481562</v>
      </c>
      <c r="G22">
        <v>2.9745741526581799</v>
      </c>
      <c r="H22" t="s">
        <v>31</v>
      </c>
      <c r="I22">
        <f t="shared" si="0"/>
        <v>0.48081714822866672</v>
      </c>
    </row>
    <row r="23" spans="1:9" x14ac:dyDescent="0.25">
      <c r="A23" s="2">
        <v>10</v>
      </c>
      <c r="B23" s="1">
        <v>0.5444444444444444</v>
      </c>
      <c r="C23">
        <f>24*5+13+4/60</f>
        <v>133.06666666666666</v>
      </c>
      <c r="F23">
        <v>133.62445108749799</v>
      </c>
      <c r="G23">
        <v>10.8921235713418</v>
      </c>
      <c r="H23" t="s">
        <v>32</v>
      </c>
      <c r="I23">
        <f t="shared" si="0"/>
        <v>0.55778442083132518</v>
      </c>
    </row>
    <row r="24" spans="1:9" x14ac:dyDescent="0.25">
      <c r="A24" s="2">
        <v>3.9</v>
      </c>
      <c r="B24" s="1">
        <v>0.80972222222222223</v>
      </c>
      <c r="C24">
        <f>24*5+19+26/60</f>
        <v>139.43333333333334</v>
      </c>
      <c r="F24">
        <v>139.83475169343501</v>
      </c>
      <c r="G24">
        <v>2.9745741526581799</v>
      </c>
      <c r="H24" t="s">
        <v>31</v>
      </c>
      <c r="I24">
        <f t="shared" si="0"/>
        <v>0.40141836010167253</v>
      </c>
    </row>
    <row r="25" spans="1:9" x14ac:dyDescent="0.25">
      <c r="A25" s="2">
        <v>9.6999999999999993</v>
      </c>
      <c r="B25" s="1">
        <v>7.0833333333333331E-2</v>
      </c>
      <c r="C25">
        <f>24*6+1+42/60</f>
        <v>145.69999999999999</v>
      </c>
      <c r="F25">
        <v>146.045052299372</v>
      </c>
      <c r="G25">
        <v>10.8921235713418</v>
      </c>
      <c r="H25" t="s">
        <v>32</v>
      </c>
      <c r="I25">
        <f t="shared" si="0"/>
        <v>0.3450522993720142</v>
      </c>
    </row>
    <row r="26" spans="1:9" x14ac:dyDescent="0.25">
      <c r="A26" s="2">
        <v>4.0999999999999996</v>
      </c>
      <c r="B26" s="1">
        <v>0.34375</v>
      </c>
      <c r="C26">
        <f>24*6+8+15/60</f>
        <v>152.25</v>
      </c>
      <c r="F26">
        <v>152.255352905309</v>
      </c>
      <c r="G26">
        <v>2.9745741526581799</v>
      </c>
      <c r="H26" t="s">
        <v>31</v>
      </c>
      <c r="I26">
        <f t="shared" si="0"/>
        <v>5.3529053089960144E-3</v>
      </c>
    </row>
    <row r="27" spans="1:9" x14ac:dyDescent="0.25">
      <c r="A27" s="2">
        <v>9.8000000000000007</v>
      </c>
      <c r="B27" s="1">
        <v>0.6</v>
      </c>
      <c r="C27">
        <f>24*6+14+24/60</f>
        <v>158.4</v>
      </c>
      <c r="F27">
        <v>158.46565351124499</v>
      </c>
      <c r="G27">
        <v>10.8921235713418</v>
      </c>
      <c r="H27" t="s">
        <v>32</v>
      </c>
      <c r="I27">
        <f t="shared" si="0"/>
        <v>6.5653511244988749E-2</v>
      </c>
    </row>
    <row r="28" spans="1:9" x14ac:dyDescent="0.25">
      <c r="A28" s="2">
        <v>4.2</v>
      </c>
      <c r="B28" s="1">
        <v>0.87569444444444444</v>
      </c>
      <c r="C28">
        <f>24*6+21+1/60</f>
        <v>165.01666666666668</v>
      </c>
      <c r="F28">
        <v>164.67595411718199</v>
      </c>
      <c r="G28">
        <v>2.9745741526581799</v>
      </c>
      <c r="H28" t="s">
        <v>31</v>
      </c>
      <c r="I28">
        <f t="shared" si="0"/>
        <v>-0.34071254948469232</v>
      </c>
    </row>
    <row r="31" spans="1:9" x14ac:dyDescent="0.25">
      <c r="A3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0B0F-31FB-4C06-9BA0-E4DCA1AFEA62}">
  <dimension ref="A1:S34"/>
  <sheetViews>
    <sheetView topLeftCell="A22" workbookViewId="0">
      <selection activeCell="A34" sqref="A34"/>
    </sheetView>
  </sheetViews>
  <sheetFormatPr defaultRowHeight="15" x14ac:dyDescent="0.25"/>
  <cols>
    <col min="2" max="2" width="18" customWidth="1"/>
    <col min="4" max="4" width="13.28515625" customWidth="1"/>
    <col min="5" max="5" width="15.5703125" customWidth="1"/>
    <col min="7" max="7" width="20" customWidth="1"/>
    <col min="8" max="8" width="12.140625" customWidth="1"/>
    <col min="9" max="9" width="13.5703125" style="5" customWidth="1"/>
    <col min="11" max="11" width="10.5703125" customWidth="1"/>
    <col min="13" max="13" width="19.5703125" customWidth="1"/>
    <col min="17" max="17" width="12.7109375" customWidth="1"/>
  </cols>
  <sheetData>
    <row r="1" spans="1:19" x14ac:dyDescent="0.25">
      <c r="A1" t="s">
        <v>34</v>
      </c>
      <c r="B1" t="s">
        <v>26</v>
      </c>
      <c r="C1" t="s">
        <v>25</v>
      </c>
      <c r="E1" t="s">
        <v>35</v>
      </c>
      <c r="F1" s="3" t="s">
        <v>27</v>
      </c>
      <c r="G1" s="3" t="s">
        <v>28</v>
      </c>
      <c r="H1" s="3" t="s">
        <v>29</v>
      </c>
      <c r="I1" t="s">
        <v>36</v>
      </c>
      <c r="J1" s="5" t="s">
        <v>30</v>
      </c>
      <c r="K1" s="5" t="s">
        <v>37</v>
      </c>
      <c r="M1" t="s">
        <v>38</v>
      </c>
      <c r="N1" s="3" t="s">
        <v>27</v>
      </c>
      <c r="O1" s="3" t="s">
        <v>28</v>
      </c>
      <c r="P1" s="3" t="s">
        <v>29</v>
      </c>
      <c r="Q1" t="s">
        <v>36</v>
      </c>
      <c r="R1" t="s">
        <v>30</v>
      </c>
      <c r="S1" t="s">
        <v>37</v>
      </c>
    </row>
    <row r="2" spans="1:19" x14ac:dyDescent="0.25">
      <c r="A2" s="1">
        <v>0.17222222222222225</v>
      </c>
      <c r="B2">
        <f>4+8/60</f>
        <v>4.1333333333333337</v>
      </c>
      <c r="C2" s="2">
        <v>2.2000000000000002</v>
      </c>
      <c r="E2" t="s">
        <v>39</v>
      </c>
      <c r="F2" s="3">
        <v>4.8116519999999996</v>
      </c>
      <c r="G2" s="3">
        <v>1.8765510000000001</v>
      </c>
      <c r="H2" s="3" t="s">
        <v>31</v>
      </c>
      <c r="I2" s="4">
        <f>TIME(MOD(F2,24), 60*(F2-INT(F2)),0)</f>
        <v>0.2</v>
      </c>
      <c r="J2" s="5">
        <f t="shared" ref="J2:J28" si="0">(F2-B2)</f>
        <v>0.67831866666666585</v>
      </c>
      <c r="K2" s="5">
        <f>(F3-F2)</f>
        <v>6.2102980000000008</v>
      </c>
      <c r="M2" t="s">
        <v>40</v>
      </c>
      <c r="N2" s="3">
        <v>3.8142640000000001</v>
      </c>
      <c r="O2" s="3">
        <v>2.136479</v>
      </c>
      <c r="P2" s="3" t="s">
        <v>31</v>
      </c>
      <c r="Q2" s="4">
        <f>TIME(MOD(N2,24), 60*(N2-INT(N2)),0)</f>
        <v>0.15833333333333333</v>
      </c>
      <c r="R2">
        <f t="shared" ref="R2:R28" si="1">(N2-B2)</f>
        <v>-0.31906933333333365</v>
      </c>
      <c r="S2">
        <f>(N3-N2)</f>
        <v>6.2102959999999996</v>
      </c>
    </row>
    <row r="3" spans="1:19" x14ac:dyDescent="0.25">
      <c r="A3" s="1">
        <v>0.40972222222222227</v>
      </c>
      <c r="B3">
        <f>9+50/60</f>
        <v>9.8333333333333339</v>
      </c>
      <c r="C3" s="2">
        <v>12</v>
      </c>
      <c r="F3" s="3">
        <v>11.02195</v>
      </c>
      <c r="G3" s="3">
        <v>12.97312</v>
      </c>
      <c r="H3" s="3" t="s">
        <v>32</v>
      </c>
      <c r="I3" s="4">
        <f>TIME(MOD(F3,24), 60*(F3-INT(F3)),0)</f>
        <v>0.45902777777777776</v>
      </c>
      <c r="J3" s="5">
        <f t="shared" si="0"/>
        <v>1.1886166666666664</v>
      </c>
      <c r="K3" s="5"/>
      <c r="N3" s="3">
        <v>10.024559999999999</v>
      </c>
      <c r="O3" s="3">
        <v>11.910589999999999</v>
      </c>
      <c r="P3" s="3" t="s">
        <v>32</v>
      </c>
      <c r="Q3" s="4">
        <f>TIME(MOD(N3,24), 60*(N3-INT(N3)),0)</f>
        <v>0.41736111111111113</v>
      </c>
      <c r="R3">
        <f t="shared" si="1"/>
        <v>0.19122666666666532</v>
      </c>
    </row>
    <row r="4" spans="1:19" x14ac:dyDescent="0.25">
      <c r="A4" s="1">
        <v>0.68194444444444446</v>
      </c>
      <c r="B4">
        <f>16+22/60</f>
        <v>16.366666666666667</v>
      </c>
      <c r="C4" s="2">
        <v>2.4</v>
      </c>
      <c r="F4" s="3">
        <v>17.232250000000001</v>
      </c>
      <c r="G4" s="3">
        <v>1.8765510000000001</v>
      </c>
      <c r="H4" s="3" t="s">
        <v>31</v>
      </c>
      <c r="I4" s="4">
        <f t="shared" ref="I4:I29" si="2">TIME(MOD(F4,24), 60*(F4-INT(F4)),0)</f>
        <v>0.71736111111111112</v>
      </c>
      <c r="J4" s="5">
        <f t="shared" si="0"/>
        <v>0.86558333333333337</v>
      </c>
      <c r="K4" s="5"/>
      <c r="N4" s="3">
        <v>16.234870000000001</v>
      </c>
      <c r="O4" s="3">
        <v>2.136479</v>
      </c>
      <c r="P4" s="3" t="s">
        <v>31</v>
      </c>
      <c r="Q4" s="4">
        <f t="shared" ref="Q4:Q29" si="3">TIME(MOD(N4,24), 60*(N4-INT(N4)),0)</f>
        <v>0.67638888888888893</v>
      </c>
      <c r="R4">
        <f t="shared" si="1"/>
        <v>-0.13179666666666634</v>
      </c>
    </row>
    <row r="5" spans="1:19" x14ac:dyDescent="0.25">
      <c r="A5" s="1">
        <v>0.92152777777777783</v>
      </c>
      <c r="B5">
        <f>22+7/60</f>
        <v>22.116666666666667</v>
      </c>
      <c r="C5" s="2">
        <v>11.7</v>
      </c>
      <c r="F5" s="3">
        <v>23.442550000000001</v>
      </c>
      <c r="G5" s="3">
        <v>12.97312</v>
      </c>
      <c r="H5" s="3" t="s">
        <v>32</v>
      </c>
      <c r="I5" s="4">
        <f t="shared" si="2"/>
        <v>0.97638888888888886</v>
      </c>
      <c r="J5" s="5">
        <f t="shared" si="0"/>
        <v>1.3258833333333335</v>
      </c>
      <c r="K5" s="5"/>
      <c r="N5" s="3">
        <v>22.445170000000001</v>
      </c>
      <c r="O5" s="3">
        <v>11.910589999999999</v>
      </c>
      <c r="P5" s="3" t="s">
        <v>32</v>
      </c>
      <c r="Q5" s="4">
        <f t="shared" si="3"/>
        <v>0.93472222222222223</v>
      </c>
      <c r="R5">
        <f t="shared" si="1"/>
        <v>0.32850333333333381</v>
      </c>
    </row>
    <row r="6" spans="1:19" x14ac:dyDescent="0.25">
      <c r="A6" s="1">
        <v>0.18541666666666667</v>
      </c>
      <c r="B6">
        <f>24+4+27/60</f>
        <v>28.45</v>
      </c>
      <c r="C6" s="2">
        <v>2.2999999999999998</v>
      </c>
      <c r="F6" s="3">
        <v>29.652850000000001</v>
      </c>
      <c r="G6" s="3">
        <v>1.8765510000000001</v>
      </c>
      <c r="H6" s="3" t="s">
        <v>31</v>
      </c>
      <c r="I6" s="4">
        <f t="shared" si="2"/>
        <v>0.23541666666666666</v>
      </c>
      <c r="J6" s="5">
        <f t="shared" si="0"/>
        <v>1.2028500000000015</v>
      </c>
      <c r="K6" s="5"/>
      <c r="N6" s="3">
        <v>28.655470000000001</v>
      </c>
      <c r="O6" s="3">
        <v>2.136479</v>
      </c>
      <c r="P6" s="3" t="s">
        <v>31</v>
      </c>
      <c r="Q6" s="4">
        <f t="shared" si="3"/>
        <v>0.19375000000000001</v>
      </c>
      <c r="R6">
        <f t="shared" si="1"/>
        <v>0.20547000000000182</v>
      </c>
    </row>
    <row r="7" spans="1:19" x14ac:dyDescent="0.25">
      <c r="A7" s="1">
        <v>0.4284722222222222</v>
      </c>
      <c r="B7">
        <f>24+10+17/60</f>
        <v>34.283333333333331</v>
      </c>
      <c r="C7" s="2">
        <v>11.7</v>
      </c>
      <c r="F7" s="3">
        <v>35.863160000000001</v>
      </c>
      <c r="G7" s="3">
        <v>12.97312</v>
      </c>
      <c r="H7" s="3" t="s">
        <v>32</v>
      </c>
      <c r="I7" s="4">
        <f t="shared" si="2"/>
        <v>0.49375000000000002</v>
      </c>
      <c r="J7" s="5">
        <f t="shared" si="0"/>
        <v>1.5798266666666692</v>
      </c>
      <c r="K7" s="5"/>
      <c r="N7" s="3">
        <v>34.865769999999998</v>
      </c>
      <c r="O7" s="3">
        <v>11.910589999999999</v>
      </c>
      <c r="P7" s="3" t="s">
        <v>32</v>
      </c>
      <c r="Q7" s="4">
        <f t="shared" si="3"/>
        <v>0.45208333333333334</v>
      </c>
      <c r="R7">
        <f t="shared" si="1"/>
        <v>0.58243666666666627</v>
      </c>
    </row>
    <row r="8" spans="1:19" x14ac:dyDescent="0.25">
      <c r="A8" s="1">
        <v>0.6958333333333333</v>
      </c>
      <c r="B8">
        <f>24+16+42/60</f>
        <v>40.700000000000003</v>
      </c>
      <c r="C8" s="2">
        <v>2.4</v>
      </c>
      <c r="F8" s="3">
        <v>42.073459999999997</v>
      </c>
      <c r="G8" s="3">
        <v>1.8765510000000001</v>
      </c>
      <c r="H8" s="3" t="s">
        <v>31</v>
      </c>
      <c r="I8" s="4">
        <f t="shared" si="2"/>
        <v>0.75277777777777777</v>
      </c>
      <c r="J8" s="5">
        <f t="shared" si="0"/>
        <v>1.3734599999999944</v>
      </c>
      <c r="K8" s="5"/>
      <c r="N8" s="3">
        <v>41.076070000000001</v>
      </c>
      <c r="O8" s="3">
        <v>2.136479</v>
      </c>
      <c r="P8" s="3" t="s">
        <v>31</v>
      </c>
      <c r="Q8" s="4">
        <f t="shared" si="3"/>
        <v>0.71111111111111114</v>
      </c>
      <c r="R8">
        <f t="shared" si="1"/>
        <v>0.37606999999999857</v>
      </c>
    </row>
    <row r="9" spans="1:19" x14ac:dyDescent="0.25">
      <c r="A9" s="1">
        <v>0.94027777777777777</v>
      </c>
      <c r="B9">
        <f>24+22+34/60</f>
        <v>46.56666666666667</v>
      </c>
      <c r="C9" s="2">
        <v>11.4</v>
      </c>
      <c r="F9" s="3">
        <v>48.283760000000001</v>
      </c>
      <c r="G9" s="3">
        <v>12.97312</v>
      </c>
      <c r="H9" s="3" t="s">
        <v>32</v>
      </c>
      <c r="I9" s="4">
        <f t="shared" si="2"/>
        <v>1.1805555555555555E-2</v>
      </c>
      <c r="J9" s="5">
        <f t="shared" si="0"/>
        <v>1.7170933333333309</v>
      </c>
      <c r="K9" s="5"/>
      <c r="N9" s="3">
        <v>47.286369999999998</v>
      </c>
      <c r="O9" s="3">
        <v>11.910589999999999</v>
      </c>
      <c r="P9" s="3" t="s">
        <v>32</v>
      </c>
      <c r="Q9" s="4">
        <f t="shared" si="3"/>
        <v>0.97013888888888888</v>
      </c>
      <c r="R9">
        <f t="shared" si="1"/>
        <v>0.71970333333332803</v>
      </c>
    </row>
    <row r="10" spans="1:19" x14ac:dyDescent="0.25">
      <c r="A10" s="1">
        <v>0.20277777777777781</v>
      </c>
      <c r="B10">
        <f>24*2+4+52/60</f>
        <v>52.866666666666667</v>
      </c>
      <c r="C10" s="2">
        <v>2.4</v>
      </c>
      <c r="F10" s="3">
        <v>54.494059999999998</v>
      </c>
      <c r="G10" s="3">
        <v>1.8765510000000001</v>
      </c>
      <c r="H10" s="3" t="s">
        <v>31</v>
      </c>
      <c r="I10" s="4">
        <f t="shared" si="2"/>
        <v>0.27013888888888887</v>
      </c>
      <c r="J10" s="5">
        <f t="shared" si="0"/>
        <v>1.6273933333333304</v>
      </c>
      <c r="K10" s="5"/>
      <c r="N10" s="3">
        <v>53.496670000000002</v>
      </c>
      <c r="O10" s="3">
        <v>2.136479</v>
      </c>
      <c r="P10" s="3" t="s">
        <v>31</v>
      </c>
      <c r="Q10" s="4">
        <f t="shared" si="3"/>
        <v>0.22847222222222222</v>
      </c>
      <c r="R10">
        <f t="shared" si="1"/>
        <v>0.63000333333333458</v>
      </c>
    </row>
    <row r="11" spans="1:19" x14ac:dyDescent="0.25">
      <c r="A11" s="1">
        <v>0.44791666666666669</v>
      </c>
      <c r="B11">
        <f>24+24+10+45/60</f>
        <v>58.75</v>
      </c>
      <c r="C11" s="2">
        <v>11.5</v>
      </c>
      <c r="F11" s="3">
        <v>60.704360000000001</v>
      </c>
      <c r="G11" s="3">
        <v>12.97312</v>
      </c>
      <c r="H11" s="3" t="s">
        <v>32</v>
      </c>
      <c r="I11" s="4">
        <f t="shared" si="2"/>
        <v>0.52916666666666667</v>
      </c>
      <c r="J11" s="5">
        <f t="shared" si="0"/>
        <v>1.9543600000000012</v>
      </c>
      <c r="K11" s="5"/>
      <c r="N11" s="3">
        <v>59.706969999999998</v>
      </c>
      <c r="O11" s="3">
        <v>11.910589999999999</v>
      </c>
      <c r="P11" s="3" t="s">
        <v>32</v>
      </c>
      <c r="Q11" s="4">
        <f t="shared" si="3"/>
        <v>0.48749999999999999</v>
      </c>
      <c r="R11">
        <f t="shared" si="1"/>
        <v>0.95696999999999832</v>
      </c>
    </row>
    <row r="12" spans="1:19" x14ac:dyDescent="0.25">
      <c r="A12" s="1">
        <v>0.71458333333333324</v>
      </c>
      <c r="B12">
        <f>24+24+17+9/60</f>
        <v>65.150000000000006</v>
      </c>
      <c r="C12" s="2">
        <v>2.5</v>
      </c>
      <c r="F12" s="3">
        <v>66.914659999999998</v>
      </c>
      <c r="G12" s="3">
        <v>1.8765510000000001</v>
      </c>
      <c r="H12" s="3" t="s">
        <v>31</v>
      </c>
      <c r="I12" s="4">
        <f t="shared" si="2"/>
        <v>0.78749999999999998</v>
      </c>
      <c r="J12" s="5">
        <f t="shared" si="0"/>
        <v>1.7646599999999921</v>
      </c>
      <c r="K12" s="5"/>
      <c r="N12" s="3">
        <v>65.917270000000002</v>
      </c>
      <c r="O12" s="3">
        <v>2.136479</v>
      </c>
      <c r="P12" s="3" t="s">
        <v>31</v>
      </c>
      <c r="Q12" s="4">
        <f t="shared" si="3"/>
        <v>0.74652777777777779</v>
      </c>
      <c r="R12">
        <f t="shared" si="1"/>
        <v>0.76726999999999634</v>
      </c>
    </row>
    <row r="13" spans="1:19" x14ac:dyDescent="0.25">
      <c r="A13" s="1">
        <v>0.96111111111111114</v>
      </c>
      <c r="B13">
        <f>24+24+23+4/60</f>
        <v>71.066666666666663</v>
      </c>
      <c r="C13" s="2">
        <v>11.1</v>
      </c>
      <c r="F13" s="3">
        <v>73.124960000000002</v>
      </c>
      <c r="G13" s="3">
        <v>12.97312</v>
      </c>
      <c r="H13" s="3" t="s">
        <v>32</v>
      </c>
      <c r="I13" s="4">
        <f t="shared" si="2"/>
        <v>4.6527777777777779E-2</v>
      </c>
      <c r="J13" s="5">
        <f t="shared" si="0"/>
        <v>2.0582933333333386</v>
      </c>
      <c r="K13" s="5"/>
      <c r="N13" s="3">
        <v>72.127570000000006</v>
      </c>
      <c r="O13" s="3">
        <v>11.910589999999999</v>
      </c>
      <c r="P13" s="3" t="s">
        <v>32</v>
      </c>
      <c r="Q13" s="4">
        <f t="shared" si="3"/>
        <v>4.8611111111111112E-3</v>
      </c>
      <c r="R13">
        <f t="shared" si="1"/>
        <v>1.0609033333333429</v>
      </c>
    </row>
    <row r="14" spans="1:19" x14ac:dyDescent="0.25">
      <c r="A14" s="1">
        <v>0.22500000000000001</v>
      </c>
      <c r="B14">
        <f>24*3+5+24/60</f>
        <v>77.400000000000006</v>
      </c>
      <c r="C14" s="2">
        <v>2.6</v>
      </c>
      <c r="F14" s="3">
        <v>79.335260000000005</v>
      </c>
      <c r="G14" s="3">
        <v>1.8765510000000001</v>
      </c>
      <c r="H14" s="3" t="s">
        <v>31</v>
      </c>
      <c r="I14" s="4">
        <f t="shared" si="2"/>
        <v>0.30555555555555558</v>
      </c>
      <c r="J14" s="5">
        <f t="shared" si="0"/>
        <v>1.9352599999999995</v>
      </c>
      <c r="K14" s="5"/>
      <c r="N14" s="3">
        <v>78.337869999999995</v>
      </c>
      <c r="O14" s="3">
        <v>2.136479</v>
      </c>
      <c r="P14" s="3" t="s">
        <v>31</v>
      </c>
      <c r="Q14" s="4">
        <f t="shared" si="3"/>
        <v>0.2638888888888889</v>
      </c>
      <c r="R14">
        <f t="shared" si="1"/>
        <v>0.93786999999998955</v>
      </c>
    </row>
    <row r="15" spans="1:19" x14ac:dyDescent="0.25">
      <c r="A15" s="1">
        <v>0.47152777777777777</v>
      </c>
      <c r="B15">
        <f>24*3+11+19/60</f>
        <v>83.316666666666663</v>
      </c>
      <c r="C15" s="2">
        <v>11.1</v>
      </c>
      <c r="F15" s="3">
        <v>85.545559999999995</v>
      </c>
      <c r="G15" s="3">
        <v>12.97312</v>
      </c>
      <c r="H15" s="3" t="s">
        <v>32</v>
      </c>
      <c r="I15" s="4">
        <f t="shared" si="2"/>
        <v>0.56388888888888888</v>
      </c>
      <c r="J15" s="5">
        <f t="shared" si="0"/>
        <v>2.2288933333333318</v>
      </c>
      <c r="K15" s="5"/>
      <c r="N15" s="3">
        <v>84.548169999999999</v>
      </c>
      <c r="O15" s="3">
        <v>11.910589999999999</v>
      </c>
      <c r="P15" s="3" t="s">
        <v>32</v>
      </c>
      <c r="Q15" s="4">
        <f t="shared" si="3"/>
        <v>0.52222222222222225</v>
      </c>
      <c r="R15">
        <f t="shared" si="1"/>
        <v>1.2315033333333361</v>
      </c>
    </row>
    <row r="16" spans="1:19" x14ac:dyDescent="0.25">
      <c r="A16" s="1">
        <v>0.73819444444444438</v>
      </c>
      <c r="B16">
        <f>24*3+17+43/60</f>
        <v>89.716666666666669</v>
      </c>
      <c r="C16" s="2">
        <v>2.8</v>
      </c>
      <c r="F16" s="3">
        <v>91.755859999999998</v>
      </c>
      <c r="G16" s="3">
        <v>1.8765510000000001</v>
      </c>
      <c r="H16" s="3" t="s">
        <v>31</v>
      </c>
      <c r="I16" s="4">
        <f t="shared" si="2"/>
        <v>0.82291666666666663</v>
      </c>
      <c r="J16" s="5">
        <f t="shared" si="0"/>
        <v>2.0391933333333299</v>
      </c>
      <c r="K16" s="5"/>
      <c r="N16" s="3">
        <v>90.758470000000003</v>
      </c>
      <c r="O16" s="3">
        <v>2.136479</v>
      </c>
      <c r="P16" s="3" t="s">
        <v>31</v>
      </c>
      <c r="Q16" s="4">
        <f t="shared" si="3"/>
        <v>0.78125</v>
      </c>
      <c r="R16">
        <f t="shared" si="1"/>
        <v>1.0418033333333341</v>
      </c>
    </row>
    <row r="17" spans="1:18" x14ac:dyDescent="0.25">
      <c r="A17" s="1">
        <v>0.98749999999999993</v>
      </c>
      <c r="B17">
        <f>24*3+23+42/60</f>
        <v>95.7</v>
      </c>
      <c r="C17" s="2">
        <v>10.6</v>
      </c>
      <c r="F17" s="3">
        <v>97.966160000000002</v>
      </c>
      <c r="G17" s="3">
        <v>12.97312</v>
      </c>
      <c r="H17" s="3" t="s">
        <v>32</v>
      </c>
      <c r="I17" s="4">
        <f t="shared" si="2"/>
        <v>8.1250000000000003E-2</v>
      </c>
      <c r="J17" s="5">
        <f t="shared" si="0"/>
        <v>2.2661599999999993</v>
      </c>
      <c r="K17" s="5"/>
      <c r="N17" s="3">
        <v>96.968770000000006</v>
      </c>
      <c r="O17" s="3">
        <v>11.910589999999999</v>
      </c>
      <c r="P17" s="3" t="s">
        <v>32</v>
      </c>
      <c r="Q17" s="4">
        <f t="shared" si="3"/>
        <v>4.027777777777778E-2</v>
      </c>
      <c r="R17">
        <f t="shared" si="1"/>
        <v>1.2687700000000035</v>
      </c>
    </row>
    <row r="18" spans="1:18" x14ac:dyDescent="0.25">
      <c r="A18" s="1">
        <v>0.25277777777777777</v>
      </c>
      <c r="B18">
        <f>24*4+6+4/60</f>
        <v>102.06666666666666</v>
      </c>
      <c r="C18" s="2">
        <v>3.1</v>
      </c>
      <c r="F18" s="3">
        <v>104.1765</v>
      </c>
      <c r="G18" s="3">
        <v>1.8765510000000001</v>
      </c>
      <c r="H18" s="3" t="s">
        <v>31</v>
      </c>
      <c r="I18" s="4">
        <f t="shared" si="2"/>
        <v>0.34027777777777779</v>
      </c>
      <c r="J18" s="5">
        <f t="shared" si="0"/>
        <v>2.1098333333333414</v>
      </c>
      <c r="K18" s="5"/>
      <c r="N18" s="3">
        <v>103.17910000000001</v>
      </c>
      <c r="O18" s="3">
        <v>2.136479</v>
      </c>
      <c r="P18" s="3" t="s">
        <v>31</v>
      </c>
      <c r="Q18" s="4">
        <f t="shared" si="3"/>
        <v>0.2986111111111111</v>
      </c>
      <c r="R18">
        <f t="shared" si="1"/>
        <v>1.1124333333333425</v>
      </c>
    </row>
    <row r="19" spans="1:18" x14ac:dyDescent="0.25">
      <c r="A19" s="1">
        <v>0.50277777777777777</v>
      </c>
      <c r="B19">
        <f>24*4+12+4/60</f>
        <v>108.06666666666666</v>
      </c>
      <c r="C19" s="2">
        <v>10.5</v>
      </c>
      <c r="F19" s="3">
        <v>110.38679999999999</v>
      </c>
      <c r="G19" s="3">
        <v>12.97312</v>
      </c>
      <c r="H19" s="3" t="s">
        <v>32</v>
      </c>
      <c r="I19" s="4">
        <f t="shared" si="2"/>
        <v>0.59930555555555554</v>
      </c>
      <c r="J19" s="5">
        <f t="shared" si="0"/>
        <v>2.3201333333333309</v>
      </c>
      <c r="K19" s="5"/>
      <c r="N19" s="3">
        <v>109.38939999999999</v>
      </c>
      <c r="O19" s="3">
        <v>11.910589999999999</v>
      </c>
      <c r="P19" s="3" t="s">
        <v>32</v>
      </c>
      <c r="Q19" s="4">
        <f t="shared" si="3"/>
        <v>0.55763888888888891</v>
      </c>
      <c r="R19">
        <f t="shared" si="1"/>
        <v>1.322733333333332</v>
      </c>
    </row>
    <row r="20" spans="1:18" x14ac:dyDescent="0.25">
      <c r="A20" s="1">
        <v>0.7680555555555556</v>
      </c>
      <c r="B20">
        <f>24*4+18+26/60</f>
        <v>114.43333333333334</v>
      </c>
      <c r="C20" s="2">
        <v>3.3</v>
      </c>
      <c r="F20" s="3">
        <v>116.5971</v>
      </c>
      <c r="G20" s="3">
        <v>1.8765510000000001</v>
      </c>
      <c r="H20" s="3" t="s">
        <v>31</v>
      </c>
      <c r="I20" s="4">
        <f t="shared" si="2"/>
        <v>0.85763888888888884</v>
      </c>
      <c r="J20" s="5">
        <f t="shared" si="0"/>
        <v>2.1637666666666604</v>
      </c>
      <c r="K20" s="5"/>
      <c r="N20" s="3">
        <v>115.5997</v>
      </c>
      <c r="O20" s="3">
        <v>2.136479</v>
      </c>
      <c r="P20" s="3" t="s">
        <v>31</v>
      </c>
      <c r="Q20" s="4">
        <f t="shared" si="3"/>
        <v>0.81597222222222221</v>
      </c>
      <c r="R20">
        <f t="shared" si="1"/>
        <v>1.1663666666666614</v>
      </c>
    </row>
    <row r="21" spans="1:18" x14ac:dyDescent="0.25">
      <c r="A21" s="1">
        <v>2.2222222222222223E-2</v>
      </c>
      <c r="B21">
        <f>24*5+32/60</f>
        <v>120.53333333333333</v>
      </c>
      <c r="C21" s="2">
        <v>10.1</v>
      </c>
      <c r="F21" s="3">
        <v>122.8074</v>
      </c>
      <c r="G21" s="3">
        <v>12.97312</v>
      </c>
      <c r="H21" s="3" t="s">
        <v>32</v>
      </c>
      <c r="I21" s="4">
        <f t="shared" si="2"/>
        <v>0.11666666666666667</v>
      </c>
      <c r="J21" s="5">
        <f t="shared" si="0"/>
        <v>2.2740666666666698</v>
      </c>
      <c r="K21" s="5"/>
      <c r="N21" s="3">
        <v>121.81</v>
      </c>
      <c r="O21" s="3">
        <v>11.910589999999999</v>
      </c>
      <c r="P21" s="3" t="s">
        <v>32</v>
      </c>
      <c r="Q21" s="4">
        <f t="shared" si="3"/>
        <v>7.4999999999999997E-2</v>
      </c>
      <c r="R21">
        <f t="shared" si="1"/>
        <v>1.2766666666666708</v>
      </c>
    </row>
    <row r="22" spans="1:18" x14ac:dyDescent="0.25">
      <c r="A22" s="1">
        <v>0.28888888888888892</v>
      </c>
      <c r="B22">
        <f>24*5+6+56/60</f>
        <v>126.93333333333334</v>
      </c>
      <c r="C22" s="2">
        <v>3.7</v>
      </c>
      <c r="F22" s="3">
        <v>129.01769999999999</v>
      </c>
      <c r="G22" s="3">
        <v>1.8765510000000001</v>
      </c>
      <c r="H22" s="3" t="s">
        <v>31</v>
      </c>
      <c r="I22" s="4">
        <f t="shared" si="2"/>
        <v>0.37569444444444444</v>
      </c>
      <c r="J22" s="5">
        <f t="shared" si="0"/>
        <v>2.0843666666666536</v>
      </c>
      <c r="K22" s="5"/>
      <c r="N22" s="3">
        <v>128.02029999999999</v>
      </c>
      <c r="O22" s="3">
        <v>2.136479</v>
      </c>
      <c r="P22" s="3" t="s">
        <v>31</v>
      </c>
      <c r="Q22" s="4">
        <f t="shared" si="3"/>
        <v>0.33402777777777776</v>
      </c>
      <c r="R22">
        <f t="shared" si="1"/>
        <v>1.0869666666666546</v>
      </c>
    </row>
    <row r="23" spans="1:18" x14ac:dyDescent="0.25">
      <c r="A23" s="1">
        <v>0.5444444444444444</v>
      </c>
      <c r="B23">
        <f>24*5+13+4/60</f>
        <v>133.06666666666666</v>
      </c>
      <c r="C23" s="2">
        <v>10</v>
      </c>
      <c r="F23" s="3">
        <v>135.22800000000001</v>
      </c>
      <c r="G23" s="3">
        <v>12.97312</v>
      </c>
      <c r="H23" s="3" t="s">
        <v>32</v>
      </c>
      <c r="I23" s="4">
        <f t="shared" si="2"/>
        <v>0.63402777777777775</v>
      </c>
      <c r="J23" s="5">
        <f t="shared" si="0"/>
        <v>2.1613333333333458</v>
      </c>
      <c r="K23" s="5"/>
      <c r="N23" s="3">
        <v>134.23060000000001</v>
      </c>
      <c r="O23" s="3">
        <v>11.910589999999999</v>
      </c>
      <c r="P23" s="3" t="s">
        <v>32</v>
      </c>
      <c r="Q23" s="4">
        <f t="shared" si="3"/>
        <v>0.59236111111111112</v>
      </c>
      <c r="R23">
        <f t="shared" si="1"/>
        <v>1.1639333333333468</v>
      </c>
    </row>
    <row r="24" spans="1:18" x14ac:dyDescent="0.25">
      <c r="A24" s="1">
        <v>0.80972222222222223</v>
      </c>
      <c r="B24">
        <f>24*5+19+26/60</f>
        <v>139.43333333333334</v>
      </c>
      <c r="C24" s="2">
        <v>3.9</v>
      </c>
      <c r="F24" s="3">
        <v>141.4383</v>
      </c>
      <c r="G24" s="3">
        <v>1.8765510000000001</v>
      </c>
      <c r="H24" s="3" t="s">
        <v>31</v>
      </c>
      <c r="I24" s="4">
        <f t="shared" si="2"/>
        <v>0.8930555555555556</v>
      </c>
      <c r="J24" s="5">
        <f t="shared" si="0"/>
        <v>2.004966666666661</v>
      </c>
      <c r="K24" s="5"/>
      <c r="N24" s="3">
        <v>140.4409</v>
      </c>
      <c r="O24" s="3">
        <v>2.136479</v>
      </c>
      <c r="P24" s="3" t="s">
        <v>31</v>
      </c>
      <c r="Q24" s="4">
        <f t="shared" si="3"/>
        <v>0.85138888888888886</v>
      </c>
      <c r="R24">
        <f t="shared" si="1"/>
        <v>1.0075666666666621</v>
      </c>
    </row>
    <row r="25" spans="1:18" x14ac:dyDescent="0.25">
      <c r="A25" s="1">
        <v>7.0833333333333331E-2</v>
      </c>
      <c r="B25">
        <f>24*6+1+42/60</f>
        <v>145.69999999999999</v>
      </c>
      <c r="C25" s="2">
        <v>9.6999999999999993</v>
      </c>
      <c r="F25" s="3">
        <v>147.64859999999999</v>
      </c>
      <c r="G25" s="3">
        <v>12.97312</v>
      </c>
      <c r="H25" s="3" t="s">
        <v>32</v>
      </c>
      <c r="I25" s="4">
        <f t="shared" si="2"/>
        <v>0.15138888888888888</v>
      </c>
      <c r="J25" s="5">
        <f t="shared" si="0"/>
        <v>1.948599999999999</v>
      </c>
      <c r="K25" s="5"/>
      <c r="N25" s="3">
        <v>146.65119999999999</v>
      </c>
      <c r="O25" s="3">
        <v>11.910589999999999</v>
      </c>
      <c r="P25" s="3" t="s">
        <v>32</v>
      </c>
      <c r="Q25" s="4">
        <f t="shared" si="3"/>
        <v>0.11041666666666666</v>
      </c>
      <c r="R25">
        <f t="shared" si="1"/>
        <v>0.95120000000000005</v>
      </c>
    </row>
    <row r="26" spans="1:18" x14ac:dyDescent="0.25">
      <c r="A26" s="1">
        <v>0.34375</v>
      </c>
      <c r="B26">
        <f>24*6+8+15/60</f>
        <v>152.25</v>
      </c>
      <c r="C26" s="2">
        <v>4.0999999999999996</v>
      </c>
      <c r="F26" s="3">
        <v>153.85890000000001</v>
      </c>
      <c r="G26" s="3">
        <v>1.8765510000000001</v>
      </c>
      <c r="H26" s="3" t="s">
        <v>31</v>
      </c>
      <c r="I26" s="4">
        <f t="shared" si="2"/>
        <v>0.41041666666666665</v>
      </c>
      <c r="J26" s="5">
        <f t="shared" si="0"/>
        <v>1.6089000000000055</v>
      </c>
      <c r="K26" s="5"/>
      <c r="N26" s="3">
        <v>152.86150000000001</v>
      </c>
      <c r="O26" s="3">
        <v>2.136479</v>
      </c>
      <c r="P26" s="3" t="s">
        <v>31</v>
      </c>
      <c r="Q26" s="4">
        <f t="shared" si="3"/>
        <v>0.36875000000000002</v>
      </c>
      <c r="R26">
        <f t="shared" si="1"/>
        <v>0.61150000000000659</v>
      </c>
    </row>
    <row r="27" spans="1:18" x14ac:dyDescent="0.25">
      <c r="A27" s="1">
        <v>0.6</v>
      </c>
      <c r="B27">
        <f>24*6+14+24/60</f>
        <v>158.4</v>
      </c>
      <c r="C27" s="2">
        <v>9.8000000000000007</v>
      </c>
      <c r="F27" s="3">
        <v>160.0692</v>
      </c>
      <c r="G27" s="3">
        <v>12.97312</v>
      </c>
      <c r="H27" s="3" t="s">
        <v>32</v>
      </c>
      <c r="I27" s="4">
        <f t="shared" si="2"/>
        <v>0.6694444444444444</v>
      </c>
      <c r="J27" s="5">
        <f t="shared" si="0"/>
        <v>1.6691999999999894</v>
      </c>
      <c r="K27" s="5"/>
      <c r="N27" s="3">
        <v>159.0718</v>
      </c>
      <c r="O27" s="3">
        <v>11.910589999999999</v>
      </c>
      <c r="P27" s="3" t="s">
        <v>32</v>
      </c>
      <c r="Q27" s="4">
        <f t="shared" si="3"/>
        <v>0.62777777777777777</v>
      </c>
      <c r="R27">
        <f t="shared" si="1"/>
        <v>0.6717999999999904</v>
      </c>
    </row>
    <row r="28" spans="1:18" x14ac:dyDescent="0.25">
      <c r="A28" s="1">
        <v>0.87569444444444444</v>
      </c>
      <c r="B28">
        <f>24*6+21+1/60</f>
        <v>165.01666666666668</v>
      </c>
      <c r="C28" s="2">
        <v>4.2</v>
      </c>
      <c r="F28" s="3">
        <v>166.27950000000001</v>
      </c>
      <c r="G28" s="3">
        <v>1.8765510000000001</v>
      </c>
      <c r="H28" s="3" t="s">
        <v>31</v>
      </c>
      <c r="I28" s="4">
        <f t="shared" si="2"/>
        <v>0.92777777777777781</v>
      </c>
      <c r="J28" s="5">
        <f t="shared" si="0"/>
        <v>1.262833333333333</v>
      </c>
      <c r="K28" s="5"/>
      <c r="N28" s="3">
        <v>165.28210000000001</v>
      </c>
      <c r="O28" s="3">
        <v>2.136479</v>
      </c>
      <c r="P28" s="3" t="s">
        <v>31</v>
      </c>
      <c r="Q28" s="4">
        <f t="shared" si="3"/>
        <v>0.88611111111111107</v>
      </c>
      <c r="R28">
        <f t="shared" si="1"/>
        <v>0.26543333333333408</v>
      </c>
    </row>
    <row r="29" spans="1:18" x14ac:dyDescent="0.25">
      <c r="F29" s="3">
        <v>172.4898</v>
      </c>
      <c r="G29" s="3">
        <v>12.97312</v>
      </c>
      <c r="H29" s="3" t="s">
        <v>32</v>
      </c>
      <c r="I29" s="4">
        <f t="shared" si="2"/>
        <v>0.18680555555555556</v>
      </c>
      <c r="N29" s="3">
        <v>171.4924</v>
      </c>
      <c r="O29" s="3">
        <v>11.910589999999999</v>
      </c>
      <c r="P29" s="3" t="s">
        <v>32</v>
      </c>
      <c r="Q29" s="4">
        <f t="shared" si="3"/>
        <v>0.1451388888888889</v>
      </c>
    </row>
    <row r="34" spans="1:1" x14ac:dyDescent="0.25">
      <c r="A3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2AC-4D24-4570-8F27-C91B61187CED}">
  <dimension ref="A1:K32"/>
  <sheetViews>
    <sheetView workbookViewId="0">
      <selection activeCell="A33" sqref="A33"/>
    </sheetView>
  </sheetViews>
  <sheetFormatPr defaultRowHeight="15" x14ac:dyDescent="0.25"/>
  <cols>
    <col min="1" max="1" width="19.5703125" customWidth="1"/>
    <col min="2" max="2" width="14.140625" customWidth="1"/>
    <col min="3" max="3" width="16.5703125" customWidth="1"/>
    <col min="5" max="5" width="13.42578125" customWidth="1"/>
    <col min="10" max="10" width="9.5703125" bestFit="1" customWidth="1"/>
  </cols>
  <sheetData>
    <row r="1" spans="1:11" x14ac:dyDescent="0.25">
      <c r="A1" t="s">
        <v>34</v>
      </c>
      <c r="B1" t="s">
        <v>26</v>
      </c>
      <c r="C1" t="s">
        <v>25</v>
      </c>
      <c r="E1" t="s">
        <v>42</v>
      </c>
      <c r="F1" s="6" t="s">
        <v>27</v>
      </c>
      <c r="G1" s="6" t="s">
        <v>28</v>
      </c>
      <c r="H1" s="6" t="s">
        <v>29</v>
      </c>
      <c r="I1" t="s">
        <v>43</v>
      </c>
      <c r="J1" t="s">
        <v>30</v>
      </c>
      <c r="K1" t="s">
        <v>37</v>
      </c>
    </row>
    <row r="2" spans="1:11" x14ac:dyDescent="0.25">
      <c r="A2" s="1">
        <v>8.819444444444445E-2</v>
      </c>
      <c r="B2">
        <f>2+7/60</f>
        <v>2.1166666666666667</v>
      </c>
      <c r="C2">
        <v>3.4</v>
      </c>
      <c r="E2" t="s">
        <v>44</v>
      </c>
      <c r="F2" t="s">
        <v>45</v>
      </c>
      <c r="K2">
        <f>(F4-F3)</f>
        <v>6.210305</v>
      </c>
    </row>
    <row r="3" spans="1:11" x14ac:dyDescent="0.25">
      <c r="A3" s="1">
        <v>0.33194444444444443</v>
      </c>
      <c r="B3">
        <f>7+58/60</f>
        <v>7.9666666666666668</v>
      </c>
      <c r="C3">
        <v>0.8</v>
      </c>
      <c r="F3" s="6">
        <v>6.6296850000000003</v>
      </c>
      <c r="G3" s="6">
        <v>0.53257699999999997</v>
      </c>
      <c r="H3" s="6" t="s">
        <v>31</v>
      </c>
      <c r="I3" s="4">
        <f>TIME(MOD(F3,24), 60*(F3-INT(F3)),0)</f>
        <v>0.27569444444444446</v>
      </c>
      <c r="J3">
        <f>(F3-B3)</f>
        <v>-1.3369816666666665</v>
      </c>
    </row>
    <row r="4" spans="1:11" x14ac:dyDescent="0.25">
      <c r="A4" s="1">
        <v>0.59652777777777777</v>
      </c>
      <c r="B4">
        <f>14+19/60</f>
        <v>14.316666666666666</v>
      </c>
      <c r="C4">
        <v>4</v>
      </c>
      <c r="F4" s="6">
        <v>12.83999</v>
      </c>
      <c r="G4" s="6">
        <v>4.0008900000000001</v>
      </c>
      <c r="H4" s="6" t="s">
        <v>32</v>
      </c>
      <c r="I4" s="4">
        <f>TIME(MOD(F4,24), 60*(F4-INT(F4)),0)</f>
        <v>0.53472222222222221</v>
      </c>
      <c r="J4">
        <f>(F4-B4)</f>
        <v>-1.4766766666666662</v>
      </c>
    </row>
    <row r="5" spans="1:11" x14ac:dyDescent="0.25">
      <c r="A5" s="1">
        <v>0.84583333333333333</v>
      </c>
      <c r="B5">
        <f>20+18/60</f>
        <v>20.3</v>
      </c>
      <c r="C5">
        <v>0.7</v>
      </c>
      <c r="F5" s="6">
        <v>19.05029</v>
      </c>
      <c r="G5" s="6">
        <v>0.53257699999999997</v>
      </c>
      <c r="H5" s="6" t="s">
        <v>31</v>
      </c>
      <c r="I5" s="4">
        <f t="shared" ref="I5:I30" si="0">TIME(MOD(F5,24), 60*(F5-INT(F5)),0)</f>
        <v>0.79374999999999996</v>
      </c>
      <c r="J5">
        <f t="shared" ref="J5:J28" si="1">(F5-B5)</f>
        <v>-1.2497100000000003</v>
      </c>
    </row>
    <row r="6" spans="1:11" x14ac:dyDescent="0.25">
      <c r="A6" s="1">
        <v>0.11180555555555556</v>
      </c>
      <c r="B6">
        <f>24+2+41/60</f>
        <v>26.683333333333334</v>
      </c>
      <c r="C6">
        <v>3.4</v>
      </c>
      <c r="F6" s="6">
        <v>25.260590000000001</v>
      </c>
      <c r="G6" s="6">
        <v>4.0008900000000001</v>
      </c>
      <c r="H6" s="6" t="s">
        <v>32</v>
      </c>
      <c r="I6" s="4">
        <f t="shared" si="0"/>
        <v>5.2083333333333336E-2</v>
      </c>
      <c r="J6">
        <f t="shared" si="1"/>
        <v>-1.422743333333333</v>
      </c>
    </row>
    <row r="7" spans="1:11" x14ac:dyDescent="0.25">
      <c r="A7" s="1">
        <v>0.3576388888888889</v>
      </c>
      <c r="B7">
        <f>24+8+35/60</f>
        <v>32.583333333333336</v>
      </c>
      <c r="C7">
        <v>0.8</v>
      </c>
      <c r="F7" s="6">
        <v>31.470890000000001</v>
      </c>
      <c r="G7" s="6">
        <v>0.53257699999999997</v>
      </c>
      <c r="H7" s="6" t="s">
        <v>31</v>
      </c>
      <c r="I7" s="4">
        <f t="shared" si="0"/>
        <v>0.31111111111111112</v>
      </c>
      <c r="J7">
        <f t="shared" si="1"/>
        <v>-1.112443333333335</v>
      </c>
    </row>
    <row r="8" spans="1:11" x14ac:dyDescent="0.25">
      <c r="A8" s="1">
        <v>0.62013888888888891</v>
      </c>
      <c r="B8">
        <f>24+14+53/60</f>
        <v>38.883333333333333</v>
      </c>
      <c r="C8">
        <v>3.9</v>
      </c>
      <c r="F8" s="6">
        <v>37.681190000000001</v>
      </c>
      <c r="G8" s="6">
        <v>4.0008900000000001</v>
      </c>
      <c r="H8" s="6" t="s">
        <v>32</v>
      </c>
      <c r="I8" s="4">
        <f t="shared" si="0"/>
        <v>0.56944444444444442</v>
      </c>
      <c r="J8">
        <f t="shared" si="1"/>
        <v>-1.202143333333332</v>
      </c>
    </row>
    <row r="9" spans="1:11" x14ac:dyDescent="0.25">
      <c r="A9" s="1">
        <v>0.87152777777777779</v>
      </c>
      <c r="B9">
        <f>24+20+55/60</f>
        <v>44.916666666666664</v>
      </c>
      <c r="C9">
        <v>0.7</v>
      </c>
      <c r="F9" s="6">
        <v>43.891489999999997</v>
      </c>
      <c r="G9" s="6">
        <v>0.53257699999999997</v>
      </c>
      <c r="H9" s="6" t="s">
        <v>31</v>
      </c>
      <c r="I9" s="4">
        <f t="shared" si="0"/>
        <v>0.82847222222222228</v>
      </c>
      <c r="J9">
        <f t="shared" si="1"/>
        <v>-1.0251766666666668</v>
      </c>
    </row>
    <row r="10" spans="1:11" x14ac:dyDescent="0.25">
      <c r="A10" s="1">
        <v>0.13680555555555554</v>
      </c>
      <c r="B10">
        <f>24*2+3+17/60</f>
        <v>51.283333333333331</v>
      </c>
      <c r="C10">
        <v>3.4</v>
      </c>
      <c r="F10" s="6">
        <v>50.101790000000001</v>
      </c>
      <c r="G10" s="6">
        <v>4.0008900000000001</v>
      </c>
      <c r="H10" s="6" t="s">
        <v>32</v>
      </c>
      <c r="I10" s="4">
        <f t="shared" si="0"/>
        <v>8.7499999999999994E-2</v>
      </c>
      <c r="J10">
        <f t="shared" si="1"/>
        <v>-1.1815433333333303</v>
      </c>
    </row>
    <row r="11" spans="1:11" x14ac:dyDescent="0.25">
      <c r="A11" s="1">
        <v>0.38541666666666669</v>
      </c>
      <c r="B11">
        <f>24*2+9+15/60</f>
        <v>57.25</v>
      </c>
      <c r="C11">
        <v>0.9</v>
      </c>
      <c r="F11" s="6">
        <v>56.312089999999998</v>
      </c>
      <c r="G11" s="6">
        <v>0.53257699999999997</v>
      </c>
      <c r="H11" s="6" t="s">
        <v>31</v>
      </c>
      <c r="I11" s="4">
        <f t="shared" si="0"/>
        <v>0.34583333333333333</v>
      </c>
      <c r="J11">
        <f t="shared" si="1"/>
        <v>-0.93791000000000224</v>
      </c>
    </row>
    <row r="12" spans="1:11" x14ac:dyDescent="0.25">
      <c r="A12" s="1">
        <v>0.64513888888888882</v>
      </c>
      <c r="B12">
        <f>24*2+15+29/60</f>
        <v>63.483333333333334</v>
      </c>
      <c r="C12">
        <v>3.8</v>
      </c>
      <c r="F12" s="6">
        <v>62.522390000000001</v>
      </c>
      <c r="G12" s="6">
        <v>4.0008900000000001</v>
      </c>
      <c r="H12" s="6" t="s">
        <v>32</v>
      </c>
      <c r="I12" s="4">
        <f t="shared" si="0"/>
        <v>0.60486111111111107</v>
      </c>
      <c r="J12">
        <f t="shared" si="1"/>
        <v>-0.96094333333333282</v>
      </c>
    </row>
    <row r="13" spans="1:11" x14ac:dyDescent="0.25">
      <c r="A13" s="1">
        <v>0.9</v>
      </c>
      <c r="B13">
        <f>24*2+21+36/60</f>
        <v>69.599999999999994</v>
      </c>
      <c r="C13">
        <v>0.8</v>
      </c>
      <c r="F13" s="6">
        <v>68.732690000000005</v>
      </c>
      <c r="G13" s="6">
        <v>0.53257699999999997</v>
      </c>
      <c r="H13" s="6" t="s">
        <v>31</v>
      </c>
      <c r="I13" s="4">
        <f t="shared" si="0"/>
        <v>0.86319444444444449</v>
      </c>
      <c r="J13">
        <f t="shared" si="1"/>
        <v>-0.86730999999998915</v>
      </c>
    </row>
    <row r="14" spans="1:11" x14ac:dyDescent="0.25">
      <c r="A14" s="1">
        <v>0.16388888888888889</v>
      </c>
      <c r="B14">
        <f>24*3+3+56/60</f>
        <v>75.933333333333337</v>
      </c>
      <c r="C14">
        <v>3.3</v>
      </c>
      <c r="F14" s="6">
        <v>74.942989999999995</v>
      </c>
      <c r="G14" s="6">
        <v>4.0008900000000001</v>
      </c>
      <c r="H14" s="6" t="s">
        <v>32</v>
      </c>
      <c r="I14" s="4">
        <f t="shared" si="0"/>
        <v>0.12222222222222222</v>
      </c>
      <c r="J14">
        <f t="shared" si="1"/>
        <v>-0.99034333333334246</v>
      </c>
    </row>
    <row r="15" spans="1:11" x14ac:dyDescent="0.25">
      <c r="A15" s="1">
        <v>0.4152777777777778</v>
      </c>
      <c r="B15">
        <f>24*3+9+58/60</f>
        <v>81.966666666666669</v>
      </c>
      <c r="C15">
        <v>1</v>
      </c>
      <c r="F15" s="6">
        <v>81.153289999999998</v>
      </c>
      <c r="G15" s="6">
        <v>0.53257699999999997</v>
      </c>
      <c r="H15" s="6" t="s">
        <v>31</v>
      </c>
      <c r="I15" s="4">
        <f t="shared" si="0"/>
        <v>0.38124999999999998</v>
      </c>
      <c r="J15">
        <f t="shared" si="1"/>
        <v>-0.81337666666667019</v>
      </c>
    </row>
    <row r="16" spans="1:11" x14ac:dyDescent="0.25">
      <c r="A16" s="1">
        <v>0.67499999999999993</v>
      </c>
      <c r="B16">
        <f>24*3+16+12/60</f>
        <v>88.2</v>
      </c>
      <c r="C16">
        <v>3.4</v>
      </c>
      <c r="F16" s="6">
        <v>87.363590000000002</v>
      </c>
      <c r="G16" s="6">
        <v>4.0008900000000001</v>
      </c>
      <c r="H16" s="6" t="s">
        <v>32</v>
      </c>
      <c r="I16" s="4">
        <f t="shared" si="0"/>
        <v>0.63958333333333328</v>
      </c>
      <c r="J16">
        <f t="shared" si="1"/>
        <v>-0.83641000000000076</v>
      </c>
    </row>
    <row r="17" spans="1:10" x14ac:dyDescent="0.25">
      <c r="A17" s="1">
        <v>0.93125000000000002</v>
      </c>
      <c r="B17">
        <f>24*3+22+21/60</f>
        <v>94.35</v>
      </c>
      <c r="C17">
        <v>1</v>
      </c>
      <c r="F17" s="6">
        <v>93.573890000000006</v>
      </c>
      <c r="G17" s="6">
        <v>0.53257699999999997</v>
      </c>
      <c r="H17" s="6" t="s">
        <v>31</v>
      </c>
      <c r="I17" s="4">
        <f t="shared" si="0"/>
        <v>0.89861111111111114</v>
      </c>
      <c r="J17">
        <f t="shared" si="1"/>
        <v>-0.77610999999998853</v>
      </c>
    </row>
    <row r="18" spans="1:10" x14ac:dyDescent="0.25">
      <c r="A18" s="1">
        <v>0.19791666666666666</v>
      </c>
      <c r="B18">
        <f>24*4+4+45/60</f>
        <v>100.75</v>
      </c>
      <c r="C18">
        <v>3.2</v>
      </c>
      <c r="F18" s="6">
        <v>99.784189999999995</v>
      </c>
      <c r="G18" s="6">
        <v>4.0008900000000001</v>
      </c>
      <c r="H18" s="6" t="s">
        <v>32</v>
      </c>
      <c r="I18" s="4">
        <f t="shared" si="0"/>
        <v>0.15763888888888888</v>
      </c>
      <c r="J18">
        <f t="shared" si="1"/>
        <v>-0.96581000000000472</v>
      </c>
    </row>
    <row r="19" spans="1:10" x14ac:dyDescent="0.25">
      <c r="A19" s="1">
        <v>0.45069444444444445</v>
      </c>
      <c r="B19">
        <f>24*4+10+49/60</f>
        <v>106.81666666666666</v>
      </c>
      <c r="C19">
        <v>1.1000000000000001</v>
      </c>
      <c r="F19" s="6">
        <v>105.9945</v>
      </c>
      <c r="G19" s="6">
        <v>0.53257699999999997</v>
      </c>
      <c r="H19" s="6" t="s">
        <v>31</v>
      </c>
      <c r="I19" s="4">
        <f t="shared" si="0"/>
        <v>0.41597222222222224</v>
      </c>
      <c r="J19">
        <f t="shared" si="1"/>
        <v>-0.82216666666666072</v>
      </c>
    </row>
    <row r="20" spans="1:10" x14ac:dyDescent="0.25">
      <c r="A20" s="1">
        <v>0.71319444444444446</v>
      </c>
      <c r="B20">
        <f>24*4+17+7/60</f>
        <v>113.11666666666666</v>
      </c>
      <c r="C20">
        <v>3.4</v>
      </c>
      <c r="F20" s="6">
        <v>112.20480000000001</v>
      </c>
      <c r="G20" s="6">
        <v>4.0008900000000001</v>
      </c>
      <c r="H20" s="6" t="s">
        <v>32</v>
      </c>
      <c r="I20" s="4">
        <f t="shared" si="0"/>
        <v>0.67500000000000004</v>
      </c>
      <c r="J20">
        <f t="shared" si="1"/>
        <v>-0.91186666666665417</v>
      </c>
    </row>
    <row r="21" spans="1:10" x14ac:dyDescent="0.25">
      <c r="A21" s="1">
        <v>0.96944444444444444</v>
      </c>
      <c r="B21">
        <f>24*4+23+16/60</f>
        <v>119.26666666666667</v>
      </c>
      <c r="C21">
        <v>1</v>
      </c>
      <c r="F21" s="6">
        <v>118.4151</v>
      </c>
      <c r="G21" s="6">
        <v>0.53257699999999997</v>
      </c>
      <c r="H21" s="6" t="s">
        <v>31</v>
      </c>
      <c r="I21" s="4">
        <f t="shared" si="0"/>
        <v>0.93333333333333335</v>
      </c>
      <c r="J21">
        <f t="shared" si="1"/>
        <v>-0.85156666666667036</v>
      </c>
    </row>
    <row r="22" spans="1:10" x14ac:dyDescent="0.25">
      <c r="A22" s="1">
        <v>0.24166666666666667</v>
      </c>
      <c r="B22">
        <f>24*5+5+48/60</f>
        <v>125.8</v>
      </c>
      <c r="C22">
        <v>3.1</v>
      </c>
      <c r="F22" s="6">
        <v>124.6254</v>
      </c>
      <c r="G22" s="6">
        <v>4.0008900000000001</v>
      </c>
      <c r="H22" s="6" t="s">
        <v>32</v>
      </c>
      <c r="I22" s="4">
        <f t="shared" si="0"/>
        <v>0.19236111111111112</v>
      </c>
      <c r="J22">
        <f t="shared" si="1"/>
        <v>-1.1745999999999981</v>
      </c>
    </row>
    <row r="23" spans="1:10" x14ac:dyDescent="0.25">
      <c r="A23" s="1">
        <v>0.49583333333333335</v>
      </c>
      <c r="B23">
        <f>24*5+11+54/60</f>
        <v>131.9</v>
      </c>
      <c r="C23">
        <v>1.2</v>
      </c>
      <c r="F23" s="6">
        <v>130.8357</v>
      </c>
      <c r="G23" s="6">
        <v>0.53257699999999997</v>
      </c>
      <c r="H23" s="6" t="s">
        <v>31</v>
      </c>
      <c r="I23" s="4">
        <f t="shared" si="0"/>
        <v>0.4513888888888889</v>
      </c>
      <c r="J23">
        <f t="shared" si="1"/>
        <v>-1.0643000000000029</v>
      </c>
    </row>
    <row r="24" spans="1:10" x14ac:dyDescent="0.25">
      <c r="A24" s="1">
        <v>0.76111111111111107</v>
      </c>
      <c r="B24">
        <f>24*5+18+16/60</f>
        <v>138.26666666666668</v>
      </c>
      <c r="C24">
        <v>3.3</v>
      </c>
      <c r="F24" s="6">
        <v>137.04599999999999</v>
      </c>
      <c r="G24" s="6">
        <v>4.0008900000000001</v>
      </c>
      <c r="H24" s="6" t="s">
        <v>32</v>
      </c>
      <c r="I24" s="4">
        <f t="shared" si="0"/>
        <v>0.70972222222222225</v>
      </c>
      <c r="J24">
        <f t="shared" si="1"/>
        <v>-1.2206666666666877</v>
      </c>
    </row>
    <row r="25" spans="1:10" x14ac:dyDescent="0.25">
      <c r="A25" s="1">
        <v>1.8749999999999999E-2</v>
      </c>
      <c r="B25">
        <f>24*6+27/60</f>
        <v>144.44999999999999</v>
      </c>
      <c r="C25">
        <v>1.1000000000000001</v>
      </c>
      <c r="F25" s="6">
        <v>143.25630000000001</v>
      </c>
      <c r="G25" s="6">
        <v>0.53257699999999997</v>
      </c>
      <c r="H25" s="6" t="s">
        <v>31</v>
      </c>
      <c r="I25" s="4">
        <f t="shared" si="0"/>
        <v>0.96875</v>
      </c>
      <c r="J25">
        <f t="shared" si="1"/>
        <v>-1.1936999999999784</v>
      </c>
    </row>
    <row r="26" spans="1:10" x14ac:dyDescent="0.25">
      <c r="A26" s="1">
        <v>0.28958333333333336</v>
      </c>
      <c r="B26">
        <f>24*6+6+57/50</f>
        <v>151.13999999999999</v>
      </c>
      <c r="C26">
        <v>3.1</v>
      </c>
      <c r="F26" s="6">
        <v>149.4666</v>
      </c>
      <c r="G26" s="6">
        <v>4.0008900000000001</v>
      </c>
      <c r="H26" s="6" t="s">
        <v>32</v>
      </c>
      <c r="I26" s="4">
        <f t="shared" si="0"/>
        <v>0.22708333333333333</v>
      </c>
      <c r="J26">
        <f t="shared" si="1"/>
        <v>-1.6733999999999867</v>
      </c>
    </row>
    <row r="27" spans="1:10" x14ac:dyDescent="0.25">
      <c r="A27" s="1">
        <v>0.56319444444444444</v>
      </c>
      <c r="B27">
        <f>24*6+13+31/60</f>
        <v>157.51666666666668</v>
      </c>
      <c r="C27">
        <v>1.2</v>
      </c>
      <c r="F27" s="6">
        <v>155.67689999999999</v>
      </c>
      <c r="G27" s="6">
        <v>0.53257699999999997</v>
      </c>
      <c r="H27" s="6" t="s">
        <v>31</v>
      </c>
      <c r="I27" s="4">
        <f t="shared" si="0"/>
        <v>0.4861111111111111</v>
      </c>
      <c r="J27">
        <f t="shared" si="1"/>
        <v>-1.8397666666666908</v>
      </c>
    </row>
    <row r="28" spans="1:10" x14ac:dyDescent="0.25">
      <c r="A28" s="1">
        <v>0.81180555555555556</v>
      </c>
      <c r="B28">
        <f>24*6+19+29/60</f>
        <v>163.48333333333332</v>
      </c>
      <c r="C28">
        <v>3.3</v>
      </c>
      <c r="F28" s="6">
        <v>161.88720000000001</v>
      </c>
      <c r="G28" s="6">
        <v>4.0008900000000001</v>
      </c>
      <c r="H28" s="6" t="s">
        <v>32</v>
      </c>
      <c r="I28" s="4">
        <f t="shared" si="0"/>
        <v>0.74513888888888891</v>
      </c>
      <c r="J28">
        <f t="shared" si="1"/>
        <v>-1.596133333333313</v>
      </c>
    </row>
    <row r="29" spans="1:10" x14ac:dyDescent="0.25">
      <c r="F29" s="6">
        <v>168.0975</v>
      </c>
      <c r="G29" s="6">
        <v>0.53257699999999997</v>
      </c>
      <c r="H29" s="6" t="s">
        <v>31</v>
      </c>
      <c r="I29" s="4">
        <f t="shared" si="0"/>
        <v>3.472222222222222E-3</v>
      </c>
    </row>
    <row r="30" spans="1:10" x14ac:dyDescent="0.25">
      <c r="F30" s="6">
        <v>174.30779999999999</v>
      </c>
      <c r="G30" s="6">
        <v>4.0008900000000001</v>
      </c>
      <c r="H30" s="6" t="s">
        <v>32</v>
      </c>
      <c r="I30" s="4">
        <f t="shared" si="0"/>
        <v>0.26250000000000001</v>
      </c>
    </row>
    <row r="32" spans="1:10" x14ac:dyDescent="0.25">
      <c r="A32" s="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Bristol</vt:lpstr>
      <vt:lpstr>Donaghadee</vt:lpstr>
      <vt:lpstr>Averaged Bristol Preds</vt:lpstr>
      <vt:lpstr>Bristol Preds Attempt 1</vt:lpstr>
      <vt:lpstr>Donaghadee Preds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Foreman</dc:creator>
  <cp:keywords/>
  <dc:description/>
  <cp:lastModifiedBy>Ryan Elwood-Clarke</cp:lastModifiedBy>
  <cp:revision/>
  <dcterms:created xsi:type="dcterms:W3CDTF">2024-01-30T09:23:40Z</dcterms:created>
  <dcterms:modified xsi:type="dcterms:W3CDTF">2024-02-10T20:29:46Z</dcterms:modified>
  <cp:category/>
  <cp:contentStatus/>
</cp:coreProperties>
</file>