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manager8\comunes\importacion\api_cluster\"/>
    </mc:Choice>
  </mc:AlternateContent>
  <xr:revisionPtr revIDLastSave="0" documentId="13_ncr:1_{8D7B7BA9-63E0-4D3E-A080-D51AAB398C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d" sheetId="1" r:id="rId1"/>
    <sheet name="PPTO RESULTADOS" sheetId="3" r:id="rId2"/>
    <sheet name="flujo Julio 2025" sheetId="4" r:id="rId3"/>
    <sheet name="proveedores_mensuales " sheetId="10" r:id="rId4"/>
    <sheet name="PROYECCION COMPRAS PROV " sheetId="9" r:id="rId5"/>
    <sheet name="FLUJO INGRESOS " sheetId="8" r:id="rId6"/>
    <sheet name="REMUNERACIONES_PPTO" sheetId="5" r:id="rId7"/>
    <sheet name="IMPUESTOS PROYECTADOS " sheetId="6" r:id="rId8"/>
    <sheet name="TABLA CREDITO " sheetId="7" r:id="rId9"/>
  </sheets>
  <externalReferences>
    <externalReference r:id="rId10"/>
    <externalReference r:id="rId11"/>
  </externalReferences>
  <definedNames>
    <definedName name="_xlnm._FilterDatabase" localSheetId="3" hidden="1">'proveedores_mensuales '!$A$1:$P$71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P84" i="10"/>
  <c r="P86" i="10" s="1"/>
  <c r="Q82" i="10"/>
  <c r="O75" i="10"/>
  <c r="C20" i="1"/>
  <c r="D20" i="1" s="1"/>
  <c r="E20" i="1" s="1"/>
  <c r="F20" i="1" s="1"/>
  <c r="G20" i="1" s="1"/>
  <c r="H20" i="1" s="1"/>
  <c r="I20" i="1" s="1"/>
  <c r="J20" i="1" s="1"/>
  <c r="K20" i="1" s="1"/>
  <c r="L20" i="1" s="1"/>
  <c r="D11" i="1" l="1"/>
  <c r="C12" i="9"/>
  <c r="B12" i="9"/>
  <c r="D8" i="9"/>
  <c r="H29" i="8"/>
  <c r="H27" i="8"/>
  <c r="E22" i="8"/>
  <c r="D22" i="8"/>
  <c r="D27" i="8" s="1"/>
  <c r="C22" i="8"/>
  <c r="C27" i="8" s="1"/>
  <c r="E27" i="8"/>
  <c r="D6" i="9"/>
  <c r="D12" i="9" s="1"/>
  <c r="D4" i="9"/>
  <c r="C6" i="9"/>
  <c r="C4" i="9"/>
  <c r="B6" i="9"/>
  <c r="B4" i="9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E4" i="1"/>
  <c r="E12" i="1" s="1"/>
  <c r="D8" i="8"/>
  <c r="C4" i="1" s="1"/>
  <c r="C12" i="1" s="1"/>
  <c r="D12" i="6" s="1"/>
  <c r="D14" i="6" s="1"/>
  <c r="D16" i="6" s="1"/>
  <c r="H8" i="6" s="1"/>
  <c r="E8" i="8"/>
  <c r="D4" i="1" s="1"/>
  <c r="D12" i="1" s="1"/>
  <c r="F8" i="8"/>
  <c r="G8" i="8"/>
  <c r="F4" i="1" s="1"/>
  <c r="F12" i="1" s="1"/>
  <c r="H8" i="8"/>
  <c r="G4" i="1" s="1"/>
  <c r="G12" i="1" s="1"/>
  <c r="I8" i="8"/>
  <c r="H4" i="1" s="1"/>
  <c r="H12" i="1" s="1"/>
  <c r="J8" i="8"/>
  <c r="I4" i="1" s="1"/>
  <c r="I12" i="1" s="1"/>
  <c r="K8" i="8"/>
  <c r="J4" i="1" s="1"/>
  <c r="J12" i="1" s="1"/>
  <c r="L8" i="8"/>
  <c r="K4" i="1" s="1"/>
  <c r="K12" i="1" s="1"/>
  <c r="M8" i="8"/>
  <c r="L4" i="1" s="1"/>
  <c r="L12" i="1" s="1"/>
  <c r="C8" i="8"/>
  <c r="B4" i="1" s="1"/>
  <c r="B12" i="1" s="1"/>
  <c r="C12" i="6" s="1"/>
  <c r="C14" i="6" s="1"/>
  <c r="C16" i="6" s="1"/>
  <c r="M4" i="8"/>
  <c r="L4" i="8"/>
  <c r="K4" i="8"/>
  <c r="J4" i="8"/>
  <c r="I4" i="8"/>
  <c r="H4" i="8"/>
  <c r="G4" i="8"/>
  <c r="F4" i="8"/>
  <c r="E4" i="8"/>
  <c r="D4" i="8"/>
  <c r="C4" i="8"/>
  <c r="L19" i="1"/>
  <c r="K19" i="1"/>
  <c r="J19" i="1"/>
  <c r="I19" i="1"/>
  <c r="H19" i="1"/>
  <c r="G19" i="1"/>
  <c r="F19" i="1"/>
  <c r="E19" i="1"/>
  <c r="D19" i="1"/>
  <c r="C19" i="1"/>
  <c r="B19" i="1"/>
  <c r="L16" i="1"/>
  <c r="K16" i="1"/>
  <c r="J16" i="1"/>
  <c r="I16" i="1"/>
  <c r="H16" i="1"/>
  <c r="G16" i="1"/>
  <c r="F16" i="1"/>
  <c r="E16" i="1"/>
  <c r="D16" i="1"/>
  <c r="C16" i="1"/>
  <c r="B16" i="1"/>
  <c r="C8" i="6"/>
  <c r="G26" i="7"/>
  <c r="F26" i="7"/>
  <c r="E26" i="7"/>
  <c r="D26" i="7"/>
  <c r="C26" i="7"/>
  <c r="L13" i="1"/>
  <c r="K13" i="1"/>
  <c r="J13" i="1"/>
  <c r="I13" i="1"/>
  <c r="H13" i="1"/>
  <c r="G13" i="1"/>
  <c r="F13" i="1"/>
  <c r="E13" i="1"/>
  <c r="D13" i="1"/>
  <c r="C13" i="1"/>
  <c r="B13" i="1"/>
  <c r="AI32" i="4"/>
  <c r="AH32" i="4"/>
  <c r="AB32" i="4"/>
  <c r="AA32" i="4"/>
  <c r="Z32" i="4"/>
  <c r="T32" i="4"/>
  <c r="S32" i="4"/>
  <c r="R32" i="4"/>
  <c r="L32" i="4"/>
  <c r="K32" i="4"/>
  <c r="J32" i="4"/>
  <c r="D32" i="4"/>
  <c r="C32" i="4"/>
  <c r="AK31" i="4"/>
  <c r="AI30" i="4"/>
  <c r="AH30" i="4"/>
  <c r="AG30" i="4"/>
  <c r="AF30" i="4"/>
  <c r="AE30" i="4"/>
  <c r="AD30" i="4"/>
  <c r="AC30" i="4"/>
  <c r="AB30" i="4"/>
  <c r="AA30" i="4"/>
  <c r="Z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D30" i="4"/>
  <c r="C30" i="4"/>
  <c r="AK29" i="4"/>
  <c r="AK28" i="4"/>
  <c r="AK27" i="4"/>
  <c r="AK26" i="4"/>
  <c r="AK25" i="4"/>
  <c r="AJ24" i="4"/>
  <c r="AJ30" i="4" s="1"/>
  <c r="AJ32" i="4" s="1"/>
  <c r="E24" i="4"/>
  <c r="E30" i="4" s="1"/>
  <c r="AK23" i="4"/>
  <c r="Y22" i="4"/>
  <c r="AK22" i="4" s="1"/>
  <c r="F21" i="4"/>
  <c r="F30" i="4" s="1"/>
  <c r="B20" i="4"/>
  <c r="AK20" i="4" s="1"/>
  <c r="AK19" i="4"/>
  <c r="AK18" i="4"/>
  <c r="AJ15" i="4"/>
  <c r="AI15" i="4"/>
  <c r="AH15" i="4"/>
  <c r="AG15" i="4"/>
  <c r="AG32" i="4" s="1"/>
  <c r="AF15" i="4"/>
  <c r="AF32" i="4" s="1"/>
  <c r="AE15" i="4"/>
  <c r="AE32" i="4" s="1"/>
  <c r="AD15" i="4"/>
  <c r="AD32" i="4" s="1"/>
  <c r="AC15" i="4"/>
  <c r="AC32" i="4" s="1"/>
  <c r="AB15" i="4"/>
  <c r="AA15" i="4"/>
  <c r="Z15" i="4"/>
  <c r="Y15" i="4"/>
  <c r="X15" i="4"/>
  <c r="X32" i="4" s="1"/>
  <c r="W15" i="4"/>
  <c r="W32" i="4" s="1"/>
  <c r="V15" i="4"/>
  <c r="V32" i="4" s="1"/>
  <c r="U15" i="4"/>
  <c r="U32" i="4" s="1"/>
  <c r="T15" i="4"/>
  <c r="S15" i="4"/>
  <c r="R15" i="4"/>
  <c r="Q15" i="4"/>
  <c r="Q32" i="4" s="1"/>
  <c r="P15" i="4"/>
  <c r="P32" i="4" s="1"/>
  <c r="O15" i="4"/>
  <c r="O32" i="4" s="1"/>
  <c r="N15" i="4"/>
  <c r="N32" i="4" s="1"/>
  <c r="M15" i="4"/>
  <c r="M32" i="4" s="1"/>
  <c r="L15" i="4"/>
  <c r="K15" i="4"/>
  <c r="J15" i="4"/>
  <c r="I15" i="4"/>
  <c r="I32" i="4" s="1"/>
  <c r="H15" i="4"/>
  <c r="H32" i="4" s="1"/>
  <c r="G15" i="4"/>
  <c r="G32" i="4" s="1"/>
  <c r="F15" i="4"/>
  <c r="F32" i="4" s="1"/>
  <c r="E15" i="4"/>
  <c r="D15" i="4"/>
  <c r="C15" i="4"/>
  <c r="AK14" i="4"/>
  <c r="AK13" i="4"/>
  <c r="AK12" i="4"/>
  <c r="AK11" i="4"/>
  <c r="B10" i="4"/>
  <c r="AK10" i="4" s="1"/>
  <c r="AK9" i="4"/>
  <c r="AE8" i="4"/>
  <c r="AK8" i="4" s="1"/>
  <c r="AK7" i="4"/>
  <c r="E12" i="6" l="1"/>
  <c r="E14" i="6" s="1"/>
  <c r="E16" i="6" s="1"/>
  <c r="M8" i="6" s="1"/>
  <c r="E11" i="1"/>
  <c r="M12" i="1"/>
  <c r="B15" i="4"/>
  <c r="AK15" i="4" s="1"/>
  <c r="AL8" i="4"/>
  <c r="Y30" i="4"/>
  <c r="Y32" i="4" s="1"/>
  <c r="F27" i="8"/>
  <c r="B30" i="4"/>
  <c r="E32" i="4"/>
  <c r="AK24" i="4"/>
  <c r="AK21" i="4"/>
  <c r="F11" i="1" l="1"/>
  <c r="F12" i="6"/>
  <c r="F14" i="6" s="1"/>
  <c r="F16" i="6" s="1"/>
  <c r="R8" i="6" s="1"/>
  <c r="B32" i="4"/>
  <c r="AK30" i="4"/>
  <c r="G11" i="1" l="1"/>
  <c r="G12" i="6"/>
  <c r="G14" i="6" s="1"/>
  <c r="G16" i="6" s="1"/>
  <c r="V8" i="6" s="1"/>
  <c r="B34" i="4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AI34" i="4" s="1"/>
  <c r="AJ34" i="4" s="1"/>
  <c r="M3" i="1" s="1"/>
  <c r="AK32" i="4"/>
  <c r="M24" i="1"/>
  <c r="M22" i="1"/>
  <c r="M21" i="1"/>
  <c r="M20" i="1"/>
  <c r="M19" i="1"/>
  <c r="M18" i="1"/>
  <c r="M17" i="1"/>
  <c r="M16" i="1"/>
  <c r="M14" i="1"/>
  <c r="M13" i="1"/>
  <c r="M10" i="1"/>
  <c r="M9" i="1"/>
  <c r="M7" i="1"/>
  <c r="M6" i="1"/>
  <c r="M5" i="1"/>
  <c r="M4" i="1"/>
  <c r="L8" i="1"/>
  <c r="K8" i="1"/>
  <c r="J8" i="1"/>
  <c r="I8" i="1"/>
  <c r="H8" i="1"/>
  <c r="G8" i="1"/>
  <c r="F8" i="1"/>
  <c r="E8" i="1"/>
  <c r="D8" i="1"/>
  <c r="C8" i="1"/>
  <c r="O73" i="3"/>
  <c r="O72" i="3"/>
  <c r="O71" i="3"/>
  <c r="O70" i="3"/>
  <c r="O69" i="3"/>
  <c r="O68" i="3"/>
  <c r="O67" i="3"/>
  <c r="O66" i="3"/>
  <c r="O65" i="3"/>
  <c r="O63" i="3"/>
  <c r="O62" i="3"/>
  <c r="O61" i="3"/>
  <c r="D60" i="3"/>
  <c r="C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E44" i="3"/>
  <c r="O43" i="3"/>
  <c r="O41" i="3"/>
  <c r="O40" i="3"/>
  <c r="O39" i="3"/>
  <c r="O38" i="3"/>
  <c r="N37" i="3"/>
  <c r="N42" i="3" s="1"/>
  <c r="M37" i="3"/>
  <c r="M42" i="3" s="1"/>
  <c r="L37" i="3"/>
  <c r="L42" i="3" s="1"/>
  <c r="K37" i="3"/>
  <c r="K42" i="3" s="1"/>
  <c r="J37" i="3"/>
  <c r="J42" i="3" s="1"/>
  <c r="I37" i="3"/>
  <c r="I42" i="3" s="1"/>
  <c r="H37" i="3"/>
  <c r="H42" i="3" s="1"/>
  <c r="G37" i="3"/>
  <c r="G42" i="3" s="1"/>
  <c r="F37" i="3"/>
  <c r="F42" i="3" s="1"/>
  <c r="E37" i="3"/>
  <c r="E42" i="3" s="1"/>
  <c r="D37" i="3"/>
  <c r="D42" i="3" s="1"/>
  <c r="C37" i="3"/>
  <c r="O36" i="3"/>
  <c r="O35" i="3"/>
  <c r="O34" i="3"/>
  <c r="O33" i="3"/>
  <c r="N32" i="3"/>
  <c r="M32" i="3"/>
  <c r="L32" i="3"/>
  <c r="K32" i="3"/>
  <c r="J32" i="3"/>
  <c r="I32" i="3"/>
  <c r="H32" i="3"/>
  <c r="G32" i="3"/>
  <c r="F32" i="3"/>
  <c r="E32" i="3"/>
  <c r="O32" i="3" s="1"/>
  <c r="D32" i="3"/>
  <c r="C32" i="3"/>
  <c r="O31" i="3"/>
  <c r="O30" i="3"/>
  <c r="O29" i="3"/>
  <c r="O28" i="3"/>
  <c r="O27" i="3"/>
  <c r="N26" i="3"/>
  <c r="M26" i="3"/>
  <c r="L26" i="3"/>
  <c r="K26" i="3"/>
  <c r="J26" i="3"/>
  <c r="I26" i="3"/>
  <c r="H26" i="3"/>
  <c r="G26" i="3"/>
  <c r="F26" i="3"/>
  <c r="E26" i="3"/>
  <c r="D26" i="3"/>
  <c r="C26" i="3"/>
  <c r="O26" i="3" s="1"/>
  <c r="O25" i="3"/>
  <c r="O24" i="3"/>
  <c r="O23" i="3"/>
  <c r="O22" i="3"/>
  <c r="N21" i="3"/>
  <c r="M21" i="3"/>
  <c r="L21" i="3"/>
  <c r="K21" i="3"/>
  <c r="J21" i="3"/>
  <c r="I21" i="3"/>
  <c r="H21" i="3"/>
  <c r="G21" i="3"/>
  <c r="F21" i="3"/>
  <c r="E21" i="3"/>
  <c r="D21" i="3"/>
  <c r="C21" i="3"/>
  <c r="O21" i="3" s="1"/>
  <c r="O20" i="3"/>
  <c r="O19" i="3"/>
  <c r="N18" i="3"/>
  <c r="M18" i="3"/>
  <c r="L18" i="3"/>
  <c r="K18" i="3"/>
  <c r="J18" i="3"/>
  <c r="I18" i="3"/>
  <c r="H18" i="3"/>
  <c r="G18" i="3"/>
  <c r="F18" i="3"/>
  <c r="E18" i="3"/>
  <c r="D18" i="3"/>
  <c r="C18" i="3"/>
  <c r="O18" i="3" s="1"/>
  <c r="O17" i="3"/>
  <c r="O16" i="3"/>
  <c r="O14" i="3"/>
  <c r="D13" i="3"/>
  <c r="H12" i="3"/>
  <c r="G12" i="3"/>
  <c r="F12" i="3"/>
  <c r="E12" i="3"/>
  <c r="D12" i="3"/>
  <c r="C12" i="3"/>
  <c r="C15" i="3" s="1"/>
  <c r="K5" i="3"/>
  <c r="K8" i="3" s="1"/>
  <c r="K9" i="3" s="1"/>
  <c r="N4" i="3"/>
  <c r="N5" i="3" s="1"/>
  <c r="M4" i="3"/>
  <c r="L4" i="3"/>
  <c r="K4" i="3"/>
  <c r="J4" i="3"/>
  <c r="J5" i="3" s="1"/>
  <c r="J8" i="3" s="1"/>
  <c r="J9" i="3" s="1"/>
  <c r="I4" i="3"/>
  <c r="AE4" i="6" s="1"/>
  <c r="H4" i="3"/>
  <c r="Z4" i="6" s="1"/>
  <c r="G4" i="3"/>
  <c r="U4" i="6" s="1"/>
  <c r="F4" i="3"/>
  <c r="E4" i="3"/>
  <c r="L4" i="6" s="1"/>
  <c r="D4" i="3"/>
  <c r="C4" i="3"/>
  <c r="B4" i="6" s="1"/>
  <c r="H11" i="1" l="1"/>
  <c r="H12" i="6"/>
  <c r="H14" i="6" s="1"/>
  <c r="H16" i="6" s="1"/>
  <c r="AA8" i="6" s="1"/>
  <c r="H5" i="3"/>
  <c r="C5" i="3"/>
  <c r="C8" i="3" s="1"/>
  <c r="C9" i="3" s="1"/>
  <c r="B8" i="1"/>
  <c r="M8" i="1" s="1"/>
  <c r="L5" i="3"/>
  <c r="L8" i="3" s="1"/>
  <c r="L9" i="3" s="1"/>
  <c r="AT4" i="6"/>
  <c r="C4" i="6"/>
  <c r="C7" i="6"/>
  <c r="C9" i="6" s="1"/>
  <c r="B15" i="1" s="1"/>
  <c r="AJ4" i="6"/>
  <c r="AO4" i="6"/>
  <c r="D5" i="3"/>
  <c r="D8" i="3" s="1"/>
  <c r="D9" i="3" s="1"/>
  <c r="G4" i="6"/>
  <c r="M7" i="6"/>
  <c r="M4" i="6"/>
  <c r="M5" i="3"/>
  <c r="M8" i="3" s="1"/>
  <c r="M9" i="3" s="1"/>
  <c r="AY4" i="6"/>
  <c r="F5" i="3"/>
  <c r="F8" i="3" s="1"/>
  <c r="F9" i="3" s="1"/>
  <c r="Q4" i="6"/>
  <c r="AA4" i="6"/>
  <c r="AA7" i="6"/>
  <c r="G5" i="3"/>
  <c r="V4" i="6"/>
  <c r="V7" i="6"/>
  <c r="AF7" i="6"/>
  <c r="AF4" i="6"/>
  <c r="I5" i="3"/>
  <c r="I8" i="3" s="1"/>
  <c r="I9" i="3" s="1"/>
  <c r="F44" i="3"/>
  <c r="E60" i="3"/>
  <c r="N8" i="3"/>
  <c r="N9" i="3" s="1"/>
  <c r="E5" i="3"/>
  <c r="P4" i="3"/>
  <c r="O4" i="3"/>
  <c r="G8" i="3"/>
  <c r="G9" i="3" s="1"/>
  <c r="H8" i="3"/>
  <c r="H9" i="3" s="1"/>
  <c r="C42" i="3"/>
  <c r="O42" i="3" s="1"/>
  <c r="O37" i="3"/>
  <c r="E13" i="3"/>
  <c r="I12" i="3"/>
  <c r="D15" i="3"/>
  <c r="D64" i="3" s="1"/>
  <c r="D74" i="3" s="1"/>
  <c r="D75" i="3" s="1"/>
  <c r="D77" i="3" s="1"/>
  <c r="I11" i="1" l="1"/>
  <c r="I12" i="6"/>
  <c r="I14" i="6" s="1"/>
  <c r="I16" i="6" s="1"/>
  <c r="AF8" i="6" s="1"/>
  <c r="M9" i="6"/>
  <c r="AF9" i="6"/>
  <c r="V9" i="6"/>
  <c r="AA9" i="6"/>
  <c r="H7" i="6"/>
  <c r="H4" i="6"/>
  <c r="R7" i="6"/>
  <c r="R4" i="6"/>
  <c r="AP7" i="6"/>
  <c r="AP4" i="6"/>
  <c r="AK4" i="6"/>
  <c r="AK7" i="6"/>
  <c r="O5" i="3"/>
  <c r="Q14" i="3" s="1"/>
  <c r="AZ7" i="6"/>
  <c r="AZ4" i="6"/>
  <c r="B23" i="1"/>
  <c r="C64" i="3"/>
  <c r="AU7" i="6"/>
  <c r="AU4" i="6"/>
  <c r="E8" i="3"/>
  <c r="F13" i="3"/>
  <c r="E15" i="3"/>
  <c r="J12" i="3"/>
  <c r="C74" i="3"/>
  <c r="G44" i="3"/>
  <c r="F60" i="3"/>
  <c r="H15" i="1" l="1"/>
  <c r="H23" i="1" s="1"/>
  <c r="H25" i="1" s="1"/>
  <c r="D15" i="1"/>
  <c r="D23" i="1" s="1"/>
  <c r="D25" i="1" s="1"/>
  <c r="G15" i="1"/>
  <c r="G23" i="1" s="1"/>
  <c r="G25" i="1" s="1"/>
  <c r="F15" i="1"/>
  <c r="F23" i="1" s="1"/>
  <c r="F25" i="1" s="1"/>
  <c r="J11" i="1"/>
  <c r="J12" i="6"/>
  <c r="J14" i="6" s="1"/>
  <c r="J16" i="6" s="1"/>
  <c r="AK8" i="6" s="1"/>
  <c r="R9" i="6"/>
  <c r="H9" i="6"/>
  <c r="AK9" i="6"/>
  <c r="Q5" i="3"/>
  <c r="Q42" i="3"/>
  <c r="B25" i="1"/>
  <c r="Q18" i="3"/>
  <c r="Q32" i="3"/>
  <c r="Q26" i="3"/>
  <c r="C75" i="3"/>
  <c r="G60" i="3"/>
  <c r="O60" i="3" s="1"/>
  <c r="Q60" i="3" s="1"/>
  <c r="H44" i="3"/>
  <c r="K12" i="3"/>
  <c r="E64" i="3"/>
  <c r="G13" i="3"/>
  <c r="F15" i="3"/>
  <c r="F64" i="3" s="1"/>
  <c r="F74" i="3" s="1"/>
  <c r="F75" i="3" s="1"/>
  <c r="F77" i="3" s="1"/>
  <c r="E9" i="3"/>
  <c r="O9" i="3" s="1"/>
  <c r="O8" i="3"/>
  <c r="Q8" i="3" s="1"/>
  <c r="C15" i="1" l="1"/>
  <c r="C23" i="1" s="1"/>
  <c r="C25" i="1" s="1"/>
  <c r="E15" i="1"/>
  <c r="E23" i="1" s="1"/>
  <c r="E25" i="1" s="1"/>
  <c r="K11" i="1"/>
  <c r="K12" i="6"/>
  <c r="K14" i="6" s="1"/>
  <c r="K16" i="6" s="1"/>
  <c r="AP8" i="6" s="1"/>
  <c r="AP9" i="6" s="1"/>
  <c r="I15" i="1"/>
  <c r="I23" i="1" s="1"/>
  <c r="I25" i="1" s="1"/>
  <c r="B27" i="1"/>
  <c r="C27" i="1" s="1"/>
  <c r="D27" i="1" s="1"/>
  <c r="E27" i="1" s="1"/>
  <c r="F27" i="1" s="1"/>
  <c r="G27" i="1" s="1"/>
  <c r="H27" i="1" s="1"/>
  <c r="I27" i="1" s="1"/>
  <c r="C76" i="3"/>
  <c r="D76" i="3" s="1"/>
  <c r="C77" i="3"/>
  <c r="E74" i="3"/>
  <c r="H13" i="3"/>
  <c r="G15" i="3"/>
  <c r="L12" i="3"/>
  <c r="H60" i="3"/>
  <c r="I44" i="3"/>
  <c r="M11" i="1" l="1"/>
  <c r="J15" i="1"/>
  <c r="L11" i="1"/>
  <c r="M12" i="6" s="1"/>
  <c r="M14" i="6" s="1"/>
  <c r="M16" i="6" s="1"/>
  <c r="AZ8" i="6" s="1"/>
  <c r="AZ9" i="6" s="1"/>
  <c r="L12" i="6"/>
  <c r="L14" i="6" s="1"/>
  <c r="L16" i="6" s="1"/>
  <c r="AU8" i="6" s="1"/>
  <c r="AU9" i="6" s="1"/>
  <c r="M12" i="3"/>
  <c r="I13" i="3"/>
  <c r="H15" i="3"/>
  <c r="H64" i="3" s="1"/>
  <c r="H74" i="3" s="1"/>
  <c r="H75" i="3" s="1"/>
  <c r="H77" i="3" s="1"/>
  <c r="J44" i="3"/>
  <c r="I60" i="3"/>
  <c r="G64" i="3"/>
  <c r="O15" i="3"/>
  <c r="Q15" i="3" s="1"/>
  <c r="E75" i="3"/>
  <c r="E77" i="3" s="1"/>
  <c r="L15" i="1" l="1"/>
  <c r="L23" i="1" s="1"/>
  <c r="L25" i="1" s="1"/>
  <c r="J23" i="1"/>
  <c r="M15" i="1"/>
  <c r="K15" i="1"/>
  <c r="K23" i="1" s="1"/>
  <c r="K25" i="1" s="1"/>
  <c r="E76" i="3"/>
  <c r="F76" i="3" s="1"/>
  <c r="G74" i="3"/>
  <c r="O64" i="3"/>
  <c r="Q64" i="3" s="1"/>
  <c r="J13" i="3"/>
  <c r="I15" i="3"/>
  <c r="I64" i="3" s="1"/>
  <c r="I74" i="3" s="1"/>
  <c r="I75" i="3" s="1"/>
  <c r="I77" i="3" s="1"/>
  <c r="K44" i="3"/>
  <c r="J60" i="3"/>
  <c r="N12" i="3"/>
  <c r="J25" i="1" l="1"/>
  <c r="M23" i="1"/>
  <c r="K13" i="3"/>
  <c r="J15" i="3"/>
  <c r="J64" i="3" s="1"/>
  <c r="J74" i="3" s="1"/>
  <c r="J75" i="3" s="1"/>
  <c r="J77" i="3" s="1"/>
  <c r="L44" i="3"/>
  <c r="K60" i="3"/>
  <c r="O12" i="3"/>
  <c r="Q12" i="3" s="1"/>
  <c r="G75" i="3"/>
  <c r="M25" i="1" l="1"/>
  <c r="J27" i="1"/>
  <c r="K27" i="1" s="1"/>
  <c r="L27" i="1" s="1"/>
  <c r="G77" i="3"/>
  <c r="G76" i="3"/>
  <c r="H76" i="3" s="1"/>
  <c r="I76" i="3" s="1"/>
  <c r="J76" i="3" s="1"/>
  <c r="L60" i="3"/>
  <c r="M44" i="3"/>
  <c r="L13" i="3"/>
  <c r="K15" i="3"/>
  <c r="K64" i="3" s="1"/>
  <c r="K74" i="3" s="1"/>
  <c r="K75" i="3" s="1"/>
  <c r="K77" i="3" s="1"/>
  <c r="M13" i="3" l="1"/>
  <c r="L15" i="3"/>
  <c r="L64" i="3" s="1"/>
  <c r="L74" i="3" s="1"/>
  <c r="L75" i="3" s="1"/>
  <c r="L77" i="3" s="1"/>
  <c r="K76" i="3"/>
  <c r="N44" i="3"/>
  <c r="M60" i="3"/>
  <c r="L76" i="3" l="1"/>
  <c r="N60" i="3"/>
  <c r="O44" i="3"/>
  <c r="N13" i="3"/>
  <c r="M15" i="3"/>
  <c r="M64" i="3" s="1"/>
  <c r="M74" i="3" s="1"/>
  <c r="M75" i="3" s="1"/>
  <c r="M77" i="3" s="1"/>
  <c r="O13" i="3" l="1"/>
  <c r="Q13" i="3" s="1"/>
  <c r="N15" i="3"/>
  <c r="N64" i="3" s="1"/>
  <c r="N74" i="3" s="1"/>
  <c r="M76" i="3"/>
  <c r="N75" i="3" l="1"/>
  <c r="N77" i="3" s="1"/>
  <c r="O74" i="3"/>
  <c r="O75" i="3" s="1"/>
  <c r="O82" i="3" s="1"/>
  <c r="N7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Hrubilar</author>
  </authors>
  <commentList>
    <comment ref="B23" authorId="0" shapeId="0" xr:uid="{A55AC3E9-16DA-455D-812D-B5F5554DBD8E}">
      <text>
        <r>
          <rPr>
            <b/>
            <sz val="9"/>
            <color indexed="81"/>
            <rFont val="Tahoma"/>
            <family val="2"/>
          </rPr>
          <t>Hrubilar:</t>
        </r>
        <r>
          <rPr>
            <sz val="9"/>
            <color indexed="81"/>
            <rFont val="Tahoma"/>
            <family val="2"/>
          </rPr>
          <t xml:space="preserve">
Incluye pagos de Iphone .</t>
        </r>
      </text>
    </comment>
    <comment ref="B28" authorId="0" shapeId="0" xr:uid="{0E0E5CDF-F64B-48B3-92AD-577E350912ED}">
      <text>
        <r>
          <rPr>
            <b/>
            <sz val="9"/>
            <color indexed="81"/>
            <rFont val="Tahoma"/>
            <family val="2"/>
          </rPr>
          <t>Hrubilar:</t>
        </r>
        <r>
          <rPr>
            <sz val="9"/>
            <color indexed="81"/>
            <rFont val="Tahoma"/>
            <family val="2"/>
          </rPr>
          <t xml:space="preserve">
DTE</t>
        </r>
      </text>
    </comment>
    <comment ref="B44" authorId="0" shapeId="0" xr:uid="{800C5A5A-9226-4DCD-AFBF-AAE3E97EBC24}">
      <text>
        <r>
          <rPr>
            <b/>
            <sz val="9"/>
            <color indexed="81"/>
            <rFont val="Tahoma"/>
            <family val="2"/>
          </rPr>
          <t>Hrubilar:</t>
        </r>
        <r>
          <rPr>
            <sz val="9"/>
            <color indexed="81"/>
            <rFont val="Tahoma"/>
            <family val="2"/>
          </rPr>
          <t xml:space="preserve">
Incluye GGCC estimados</t>
        </r>
      </text>
    </comment>
  </commentList>
</comments>
</file>

<file path=xl/sharedStrings.xml><?xml version="1.0" encoding="utf-8"?>
<sst xmlns="http://schemas.openxmlformats.org/spreadsheetml/2006/main" count="672" uniqueCount="281">
  <si>
    <t>INFORME FLUJO CAJA</t>
  </si>
  <si>
    <t>EMPRESA: RECICLAJES ECOLOGICOS DE CHILE LIMITADA</t>
  </si>
  <si>
    <t>DETALLES</t>
  </si>
  <si>
    <t>AGO-2025</t>
  </si>
  <si>
    <t>SEP-2025</t>
  </si>
  <si>
    <t>OCT-2025</t>
  </si>
  <si>
    <t>NOV-2025</t>
  </si>
  <si>
    <t>DIC-2025</t>
  </si>
  <si>
    <t>ENE-2026</t>
  </si>
  <si>
    <t>FEB-2026</t>
  </si>
  <si>
    <t>MAR-2026</t>
  </si>
  <si>
    <t>ABR-2026</t>
  </si>
  <si>
    <t>MAY-2026</t>
  </si>
  <si>
    <t>JUN-2026</t>
  </si>
  <si>
    <t>TOTALES</t>
  </si>
  <si>
    <t>INGRESOS</t>
  </si>
  <si>
    <t>SALDO INICIAL</t>
  </si>
  <si>
    <t>1.01.05.01 - Facturas por cobrar Nacional</t>
  </si>
  <si>
    <t>TOTAL INGRESOS</t>
  </si>
  <si>
    <t>EGRESOS</t>
  </si>
  <si>
    <t>2.01.07.01 - Proveedores Nacionales</t>
  </si>
  <si>
    <t>TOTAL EGRESOS</t>
  </si>
  <si>
    <t>SUPERHABIT / DÉFICIT</t>
  </si>
  <si>
    <t>SALDO DISPONIBLE</t>
  </si>
  <si>
    <t>ID</t>
  </si>
  <si>
    <t>Estado de resultados clasificado</t>
  </si>
  <si>
    <t>Total</t>
  </si>
  <si>
    <t xml:space="preserve">Incidencia % sobre ingresos esperados </t>
  </si>
  <si>
    <t xml:space="preserve">  INGRESOS DE LA EXPLOTACIÓN</t>
  </si>
  <si>
    <t>INGRESOS PROYECTADOS PARA 2024</t>
  </si>
  <si>
    <t xml:space="preserve">  COSTOS DE LA EXPLOTACIÓN</t>
  </si>
  <si>
    <t>Margen de Contribución sobre venta</t>
  </si>
  <si>
    <t xml:space="preserve">    COSTO VENTA</t>
  </si>
  <si>
    <t xml:space="preserve">  GASTOS DE ADMINISTRACIÓN Y VENTAS</t>
  </si>
  <si>
    <t xml:space="preserve">    REMUNERACIONES Y HONORARIOS</t>
  </si>
  <si>
    <t xml:space="preserve">      Remuneraciones Brutas </t>
  </si>
  <si>
    <t xml:space="preserve">      Honorarios</t>
  </si>
  <si>
    <t xml:space="preserve">      Indemnizaciones</t>
  </si>
  <si>
    <t xml:space="preserve">    GASTOS PUBLICIDAD</t>
  </si>
  <si>
    <t xml:space="preserve">      Publicidad</t>
  </si>
  <si>
    <t xml:space="preserve">    GASTOS MARKETING</t>
  </si>
  <si>
    <t xml:space="preserve">      Honorarios Marketing</t>
  </si>
  <si>
    <t xml:space="preserve">    GASTOS EN COMUNICACIONES</t>
  </si>
  <si>
    <t xml:space="preserve">      Teléfonos Celulares</t>
  </si>
  <si>
    <t xml:space="preserve">      Internet</t>
  </si>
  <si>
    <t xml:space="preserve">      Dicom Informes Comerciales</t>
  </si>
  <si>
    <t xml:space="preserve">    GASTOS MANTENCIÓN</t>
  </si>
  <si>
    <t xml:space="preserve">      Mantencion de Software( Pybot)</t>
  </si>
  <si>
    <t xml:space="preserve">      Hosting Servidores Externalizados</t>
  </si>
  <si>
    <t xml:space="preserve">KAME ERP </t>
  </si>
  <si>
    <t xml:space="preserve">      Soporte Informático Externo</t>
  </si>
  <si>
    <t xml:space="preserve">    GASTOS BANCARIOS</t>
  </si>
  <si>
    <t xml:space="preserve">      Comisiones Banco</t>
  </si>
  <si>
    <t xml:space="preserve">      Otros Gastos Bancarios</t>
  </si>
  <si>
    <t xml:space="preserve">      Tarjeta de Crédito</t>
  </si>
  <si>
    <t xml:space="preserve">      Intereses Bancarios</t>
  </si>
  <si>
    <t xml:space="preserve">      Seguros Bancarios</t>
  </si>
  <si>
    <t xml:space="preserve">      Comisiones Lineo y Mercado Pago</t>
  </si>
  <si>
    <t xml:space="preserve">      Comisiones Virtual Pos</t>
  </si>
  <si>
    <t xml:space="preserve">      Comisiones MercadoLibre.com</t>
  </si>
  <si>
    <t xml:space="preserve">    GASTOS GENERALES</t>
  </si>
  <si>
    <t xml:space="preserve">      Arriendo de Oficinas</t>
  </si>
  <si>
    <t xml:space="preserve">      Estacionamiento </t>
  </si>
  <si>
    <t xml:space="preserve">      Gastos Correo</t>
  </si>
  <si>
    <t xml:space="preserve">      Gastos  ( alas )</t>
  </si>
  <si>
    <t xml:space="preserve">      Gastos Energia Luz</t>
  </si>
  <si>
    <t xml:space="preserve">      Gastos Traslados TAG/Peajes/Estac.</t>
  </si>
  <si>
    <t xml:space="preserve">      Otros Gastos Generales</t>
  </si>
  <si>
    <t xml:space="preserve">Gastos Asesoria </t>
  </si>
  <si>
    <t xml:space="preserve">      Patentes Comerciales</t>
  </si>
  <si>
    <t xml:space="preserve">      Agua Potable</t>
  </si>
  <si>
    <t xml:space="preserve">      Gastos Notariales</t>
  </si>
  <si>
    <t xml:space="preserve">      Suscripciones</t>
  </si>
  <si>
    <t xml:space="preserve">      Gastos Movilización</t>
  </si>
  <si>
    <t xml:space="preserve">      Gastos de Transportes</t>
  </si>
  <si>
    <t xml:space="preserve">      Gtos. Depto. Producción</t>
  </si>
  <si>
    <t xml:space="preserve">      Gastos Almacenamiento ( HBT )</t>
  </si>
  <si>
    <t xml:space="preserve">    Variaciones</t>
  </si>
  <si>
    <t xml:space="preserve">      Diferencia por Tipo de Cambio</t>
  </si>
  <si>
    <t xml:space="preserve">  GASTOS FUERA DE LA EXPLOTACIÓN</t>
  </si>
  <si>
    <t xml:space="preserve">    COSTOS NO OPERACIONALES</t>
  </si>
  <si>
    <t xml:space="preserve">      Diferencia inmaterial y redondeo</t>
  </si>
  <si>
    <t xml:space="preserve">    CORRECCIÓN MONETARIA</t>
  </si>
  <si>
    <t xml:space="preserve">      Corrección Monetaria</t>
  </si>
  <si>
    <t xml:space="preserve">      Impto. Renta 1° Categoría</t>
  </si>
  <si>
    <t>UTILIDADES / PÉRDIDAS</t>
  </si>
  <si>
    <t xml:space="preserve">Acumulado </t>
  </si>
  <si>
    <t>###</t>
  </si>
  <si>
    <t>2.01.08.01 - Remuneraciones por Pagar</t>
  </si>
  <si>
    <t>2.01.07.01 - Proveedores Nacionales atrasados</t>
  </si>
  <si>
    <t>2.01.07.01 - Proveedores Nacionales Oficina , estacionamiento ,Kame</t>
  </si>
  <si>
    <t xml:space="preserve">Impuestos </t>
  </si>
  <si>
    <t>Imposiciones</t>
  </si>
  <si>
    <t xml:space="preserve">Honorarios </t>
  </si>
  <si>
    <t xml:space="preserve">Proveedores pago contado </t>
  </si>
  <si>
    <t>Pago Tarjeta de crédito</t>
  </si>
  <si>
    <t xml:space="preserve">Credito Banco de Chile </t>
  </si>
  <si>
    <t xml:space="preserve">Gastos y comisiones Bancarias </t>
  </si>
  <si>
    <t>1.01.05.01 - Facturas por cobrar Nacional vencido al 27 de JUNIO  de 2025</t>
  </si>
  <si>
    <t>1.01.05.01 - Facturas por cobrar Nacional VTAS CONTADO 27 de junio  a 31 de junio 2025</t>
  </si>
  <si>
    <t xml:space="preserve">Financiamiento Externo </t>
  </si>
  <si>
    <t>FECHA DE VENCIMIENTO: 27/06/2025 hasta 31/07/2025</t>
  </si>
  <si>
    <t>27-06-2025</t>
  </si>
  <si>
    <t>28-06-2025</t>
  </si>
  <si>
    <t>29-06-2025</t>
  </si>
  <si>
    <t>30-06-2025</t>
  </si>
  <si>
    <t>01-07-2025</t>
  </si>
  <si>
    <t>02-07-2025</t>
  </si>
  <si>
    <t>03-07-2025</t>
  </si>
  <si>
    <t>04-07-2025</t>
  </si>
  <si>
    <t>05-07-2025</t>
  </si>
  <si>
    <t>06-07-2025</t>
  </si>
  <si>
    <t>07-07-2025</t>
  </si>
  <si>
    <t>08-07-2025</t>
  </si>
  <si>
    <t>09-07-2025</t>
  </si>
  <si>
    <t>10-07-2025</t>
  </si>
  <si>
    <t>11-07-2025</t>
  </si>
  <si>
    <t>12-07-2025</t>
  </si>
  <si>
    <t>13-07-2025</t>
  </si>
  <si>
    <t>14-07-2025</t>
  </si>
  <si>
    <t>15-07-2025</t>
  </si>
  <si>
    <t>16-07-2025</t>
  </si>
  <si>
    <t>17-07-2025</t>
  </si>
  <si>
    <t>18-07-2025</t>
  </si>
  <si>
    <t>19-07-2025</t>
  </si>
  <si>
    <t>20-07-2025</t>
  </si>
  <si>
    <t>21-07-2025</t>
  </si>
  <si>
    <t>22-07-2025</t>
  </si>
  <si>
    <t>23-07-2025</t>
  </si>
  <si>
    <t>24-07-2025</t>
  </si>
  <si>
    <t>25-07-2025</t>
  </si>
  <si>
    <t>26-07-2025</t>
  </si>
  <si>
    <t>27-07-2025</t>
  </si>
  <si>
    <t>28-07-2025</t>
  </si>
  <si>
    <t>29-07-2025</t>
  </si>
  <si>
    <t>30-07-2025</t>
  </si>
  <si>
    <t>31-07-2025</t>
  </si>
  <si>
    <t xml:space="preserve">SALDO INICIAL. 26 DE JUNIO 10.25 HORAS </t>
  </si>
  <si>
    <t xml:space="preserve">PROYECCION POR MES </t>
  </si>
  <si>
    <t xml:space="preserve">mes </t>
  </si>
  <si>
    <t xml:space="preserve">Bruto </t>
  </si>
  <si>
    <t xml:space="preserve">Liquido </t>
  </si>
  <si>
    <t>imposiciones e impuestos</t>
  </si>
  <si>
    <t xml:space="preserve">Observaciones </t>
  </si>
  <si>
    <t>% Imposiciones e impuestos</t>
  </si>
  <si>
    <t>ventas nuevas ejecutivas esperada</t>
  </si>
  <si>
    <t xml:space="preserve">Se agrega cargo deBackoffice  y nueva ejecutiva </t>
  </si>
  <si>
    <t>Nº de Cuota</t>
  </si>
  <si>
    <r>
      <rPr>
        <b/>
        <sz val="8"/>
        <color rgb="FFFFFFFF"/>
        <rFont val="Arial"/>
        <family val="2"/>
      </rPr>
      <t>Fecha de Vencimiento</t>
    </r>
  </si>
  <si>
    <t>Valor Capital</t>
  </si>
  <si>
    <t>Valor Intereses</t>
  </si>
  <si>
    <r>
      <rPr>
        <b/>
        <sz val="8"/>
        <color rgb="FFFFFFFF"/>
        <rFont val="Arial"/>
        <family val="2"/>
      </rPr>
      <t>Valor Cuota</t>
    </r>
  </si>
  <si>
    <r>
      <rPr>
        <b/>
        <sz val="8"/>
        <color rgb="FFFFFFFF"/>
        <rFont val="Arial"/>
        <family val="2"/>
      </rPr>
      <t>Monto Comisión</t>
    </r>
  </si>
  <si>
    <r>
      <rPr>
        <b/>
        <sz val="8"/>
        <color rgb="FFFFFFFF"/>
        <rFont val="Arial"/>
        <family val="2"/>
      </rPr>
      <t>Valor Cuota Final</t>
    </r>
  </si>
  <si>
    <t>Proyección</t>
  </si>
  <si>
    <t xml:space="preserve">IDF </t>
  </si>
  <si>
    <t>Venta neta esperada</t>
  </si>
  <si>
    <t>Retencion segunda cat</t>
  </si>
  <si>
    <t xml:space="preserve">Impuesto unico </t>
  </si>
  <si>
    <t>PPM</t>
  </si>
  <si>
    <t xml:space="preserve">credito fiscal </t>
  </si>
  <si>
    <t>Estimado de F-29</t>
  </si>
  <si>
    <t xml:space="preserve">DE LOS PROVEEDORES </t>
  </si>
  <si>
    <t xml:space="preserve">VENTAS </t>
  </si>
  <si>
    <t xml:space="preserve">REM </t>
  </si>
  <si>
    <t xml:space="preserve">INGRESOS BRUTOS </t>
  </si>
  <si>
    <t>Incluye conbinatoria de clientes recuperados de mes anterior y clientes ingresos diferidos</t>
  </si>
  <si>
    <t xml:space="preserve">Flujo neto esperado </t>
  </si>
  <si>
    <t>fuenta analisis Histórico</t>
  </si>
  <si>
    <t xml:space="preserve">ANALIZAR CARTOLAS ULTIMOS TRES MESES </t>
  </si>
  <si>
    <t xml:space="preserve">ANALIZAR INGRESOS </t>
  </si>
  <si>
    <t xml:space="preserve">SOLO POR VENTES DE CLIENTES  Y COMPARAR CON LA VENTA NETA DEL MES </t>
  </si>
  <si>
    <t>%</t>
  </si>
  <si>
    <t xml:space="preserve">VENTAS MES / INGRESOS EFECTIVOS </t>
  </si>
  <si>
    <t xml:space="preserve">TASA </t>
  </si>
  <si>
    <t xml:space="preserve">CONCEPTO </t>
  </si>
  <si>
    <t xml:space="preserve">VENTA NETA </t>
  </si>
  <si>
    <t xml:space="preserve">COMPRAS A PROV </t>
  </si>
  <si>
    <t xml:space="preserve">% DE INCIDENCIA </t>
  </si>
  <si>
    <t xml:space="preserve">INGRESOS SEGÚN CARTOLA </t>
  </si>
  <si>
    <t xml:space="preserve">% NETO  de flujo sobre venta Neta </t>
  </si>
  <si>
    <t xml:space="preserve">TECNODATA </t>
  </si>
  <si>
    <t>PAGOS EFECTIVOS SEGÚN CARTOLA</t>
  </si>
  <si>
    <t xml:space="preserve">2.01.07.01 - Proveedores Nacionales Fijos </t>
  </si>
  <si>
    <t xml:space="preserve">2.01.07.01 - Proveedores Nacionales existencias </t>
  </si>
  <si>
    <t xml:space="preserve">1.01.05.01 - Facturas por cobrar Nacional- FLUJO </t>
  </si>
  <si>
    <t xml:space="preserve">Crédito Banco de Chile </t>
  </si>
  <si>
    <t>Nro</t>
  </si>
  <si>
    <t>Tipo Doc</t>
  </si>
  <si>
    <t>Tipo Compra</t>
  </si>
  <si>
    <t>RUT Proveedor</t>
  </si>
  <si>
    <t>Razon Social</t>
  </si>
  <si>
    <t>Folio</t>
  </si>
  <si>
    <t>Fecha Docto</t>
  </si>
  <si>
    <t>Fecha Recepcion</t>
  </si>
  <si>
    <t>Fecha Acuse</t>
  </si>
  <si>
    <t>Monto Exento</t>
  </si>
  <si>
    <t>Monto Neto</t>
  </si>
  <si>
    <t>Monto IVA Recuperable</t>
  </si>
  <si>
    <t>Monto Iva No Recuperable</t>
  </si>
  <si>
    <t>Codigo IVA No Rec.</t>
  </si>
  <si>
    <t>Monto Total</t>
  </si>
  <si>
    <t>Del Giro</t>
  </si>
  <si>
    <t>77525500-5</t>
  </si>
  <si>
    <t>IMPORTADORA PACIFIC COLOR S.A.</t>
  </si>
  <si>
    <t>76077295-K</t>
  </si>
  <si>
    <t>HBT TRANSPORTE LTDA</t>
  </si>
  <si>
    <t>96556940-5</t>
  </si>
  <si>
    <t>PROVEEDORES INTEGRALES PRISA S A</t>
  </si>
  <si>
    <t>96932920-4</t>
  </si>
  <si>
    <t>GTC RIBBON S.A.</t>
  </si>
  <si>
    <t>85896100-9</t>
  </si>
  <si>
    <t>SERVICIOS EQUIFAX CHILE LTDA.</t>
  </si>
  <si>
    <t>97004000-5</t>
  </si>
  <si>
    <t>Banco de Chile</t>
  </si>
  <si>
    <t>76188587-1</t>
  </si>
  <si>
    <t>Victoria S.A.</t>
  </si>
  <si>
    <t>77022905-7</t>
  </si>
  <si>
    <t>BANDA ANCHA INTERNET SPA</t>
  </si>
  <si>
    <t>77848732-2</t>
  </si>
  <si>
    <t>AGUA FAMILY SPA</t>
  </si>
  <si>
    <t>76478111-2</t>
  </si>
  <si>
    <t>VIRTUALPOS SPA</t>
  </si>
  <si>
    <t>77555146-1</t>
  </si>
  <si>
    <t>PYBOT SOLUCIONES INFORMATICAS SPA</t>
  </si>
  <si>
    <t>76257507-8</t>
  </si>
  <si>
    <t>OPERACIONES DE RADIO EL CONQUISTADOR LIMITADA</t>
  </si>
  <si>
    <t>97053000-2</t>
  </si>
  <si>
    <t>Banco Security</t>
  </si>
  <si>
    <t>76294887-7</t>
  </si>
  <si>
    <t>COMERCIALIZADORA DE PRODUCTOS TECNOLOGICOS  LIMITADA</t>
  </si>
  <si>
    <t>76138547-K</t>
  </si>
  <si>
    <t>MEGA ARCHIVOS S.A</t>
  </si>
  <si>
    <t>77746984-3</t>
  </si>
  <si>
    <t>SUMINISTROS WEB SPA</t>
  </si>
  <si>
    <t>89912300-K</t>
  </si>
  <si>
    <t>INGENIERIA Y CONSTRUCCION RICARDO RODRIGUEZ Y CIA LTDA</t>
  </si>
  <si>
    <t>99225000-3</t>
  </si>
  <si>
    <t>CHUBB SEGUROS CHILE S.A.</t>
  </si>
  <si>
    <t>76682722-5</t>
  </si>
  <si>
    <t>Soluciones Kame Spa</t>
  </si>
  <si>
    <t>76111742-4</t>
  </si>
  <si>
    <t>INVERSIONES ISLA KENT SPA</t>
  </si>
  <si>
    <t>96806980-2</t>
  </si>
  <si>
    <t>Entel PCS Telecomunicaciones S.A.</t>
  </si>
  <si>
    <t>76741416-1</t>
  </si>
  <si>
    <t>ALAS SPA</t>
  </si>
  <si>
    <t>96855520-0</t>
  </si>
  <si>
    <t>INVERSIONES Y NEGOCIOS FESTAO S A</t>
  </si>
  <si>
    <t>76715336-8</t>
  </si>
  <si>
    <t>CARTOGRAF SPA</t>
  </si>
  <si>
    <t>76588393-8</t>
  </si>
  <si>
    <t>ADV ASESORIAS SPA</t>
  </si>
  <si>
    <t>76460499-7</t>
  </si>
  <si>
    <t>ASESORIAS 724 LIMITADA</t>
  </si>
  <si>
    <t>96568340-2</t>
  </si>
  <si>
    <t>Inmobiliaria Monjitas S.A.</t>
  </si>
  <si>
    <t>76516950-K</t>
  </si>
  <si>
    <t>Mercado Pago Operadora S.A.</t>
  </si>
  <si>
    <t>76830014-3</t>
  </si>
  <si>
    <t>FLOW S A</t>
  </si>
  <si>
    <t>77398220-1</t>
  </si>
  <si>
    <t>MercadoLibre Chile Ltda.</t>
  </si>
  <si>
    <t>76710170-8</t>
  </si>
  <si>
    <t>MALSCH Y COMPANIA S.A.</t>
  </si>
  <si>
    <t>MercadoLibre Chile LTDA</t>
  </si>
  <si>
    <t xml:space="preserve">TIPO </t>
  </si>
  <si>
    <t xml:space="preserve">VARIABLE </t>
  </si>
  <si>
    <t>FIJO</t>
  </si>
  <si>
    <t>Gastos y comisiones Bancarias ( BANCO CHILE - SECURITY )</t>
  </si>
  <si>
    <t>2.01.07.01 - Proveedores Arrdo  Oficina , estacionamiento ,Kame</t>
  </si>
  <si>
    <t xml:space="preserve">PROVEEDORES VARIABLE </t>
  </si>
  <si>
    <t>VENTA MAYO 2025</t>
  </si>
  <si>
    <t xml:space="preserve">IMPORTACIA RELATIVA </t>
  </si>
  <si>
    <t xml:space="preserve">MARGEN </t>
  </si>
  <si>
    <t xml:space="preserve">CON IVA </t>
  </si>
  <si>
    <t xml:space="preserve">FACTOR DE INCIDENCIA </t>
  </si>
  <si>
    <t>Bice ( intereses prestamo)</t>
  </si>
  <si>
    <t xml:space="preserve">Compras netas </t>
  </si>
  <si>
    <t xml:space="preserve">Iva Credito proyectado </t>
  </si>
  <si>
    <t xml:space="preserve">Compras Brutas Estimadas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</si>
</sst>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dd\-mm\-yyyy;@"/>
    <numFmt numFmtId="166" formatCode="dd/mm/yyyy;@"/>
    <numFmt numFmtId="167" formatCode="\$\ #,##0"/>
    <numFmt numFmtId="168" formatCode="\$\ 0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8"/>
      <color rgb="FFFFFFFF"/>
      <name val="Arial"/>
      <family val="2"/>
    </font>
    <font>
      <b/>
      <sz val="8"/>
      <name val="Arial"/>
      <family val="2"/>
    </font>
    <font>
      <sz val="7.5"/>
      <color rgb="FF000000"/>
      <name val="Arial MT"/>
      <family val="2"/>
    </font>
    <font>
      <sz val="8"/>
      <color rgb="FF000000"/>
      <name val="Arial MT"/>
      <family val="2"/>
    </font>
    <font>
      <b/>
      <sz val="12"/>
      <color theme="1"/>
      <name val="Calibri"/>
      <family val="2"/>
      <scheme val="minor"/>
    </font>
    <font>
      <b/>
      <sz val="12"/>
      <color rgb="FFEE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333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C0C6CB"/>
      </bottom>
      <diagonal/>
    </border>
    <border>
      <left/>
      <right/>
      <top style="thin">
        <color rgb="FFC0C6CB"/>
      </top>
      <bottom style="thin">
        <color rgb="FFC0C6CB"/>
      </bottom>
      <diagonal/>
    </border>
    <border>
      <left/>
      <right/>
      <top style="thin">
        <color rgb="FFC0C6CB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17" fontId="7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2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10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164" fontId="10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0" fontId="5" fillId="3" borderId="0" xfId="2" applyFill="1"/>
    <xf numFmtId="10" fontId="0" fillId="0" borderId="1" xfId="0" applyNumberFormat="1" applyBorder="1" applyAlignment="1">
      <alignment horizontal="center"/>
    </xf>
    <xf numFmtId="0" fontId="11" fillId="3" borderId="0" xfId="0" applyFont="1" applyFill="1"/>
    <xf numFmtId="0" fontId="12" fillId="2" borderId="0" xfId="0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0" fontId="1" fillId="0" borderId="0" xfId="0" applyFont="1"/>
    <xf numFmtId="0" fontId="2" fillId="3" borderId="0" xfId="0" applyFont="1" applyFill="1"/>
    <xf numFmtId="164" fontId="1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1" fillId="4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10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4" borderId="0" xfId="0" applyFill="1"/>
    <xf numFmtId="0" fontId="14" fillId="2" borderId="0" xfId="0" applyFont="1" applyFill="1" applyAlignment="1">
      <alignment horizontal="center"/>
    </xf>
    <xf numFmtId="0" fontId="14" fillId="2" borderId="0" xfId="0" applyFont="1" applyFill="1"/>
    <xf numFmtId="164" fontId="14" fillId="2" borderId="0" xfId="0" applyNumberFormat="1" applyFont="1" applyFill="1" applyAlignment="1">
      <alignment horizontal="center"/>
    </xf>
    <xf numFmtId="164" fontId="15" fillId="0" borderId="0" xfId="0" applyNumberFormat="1" applyFont="1" applyAlignment="1">
      <alignment horizontal="center"/>
    </xf>
    <xf numFmtId="164" fontId="9" fillId="2" borderId="0" xfId="0" applyNumberFormat="1" applyFont="1" applyFill="1" applyAlignment="1">
      <alignment horizontal="center"/>
    </xf>
    <xf numFmtId="10" fontId="16" fillId="0" borderId="0" xfId="1" applyNumberFormat="1" applyFont="1" applyAlignment="1">
      <alignment horizontal="center"/>
    </xf>
    <xf numFmtId="10" fontId="13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1" applyFont="1" applyAlignment="1">
      <alignment horizontal="center"/>
    </xf>
    <xf numFmtId="3" fontId="19" fillId="0" borderId="0" xfId="0" applyNumberFormat="1" applyFont="1"/>
    <xf numFmtId="3" fontId="5" fillId="0" borderId="0" xfId="2" applyNumberFormat="1"/>
    <xf numFmtId="3" fontId="20" fillId="0" borderId="0" xfId="0" applyNumberFormat="1" applyFont="1"/>
    <xf numFmtId="165" fontId="0" fillId="0" borderId="0" xfId="0" applyNumberFormat="1"/>
    <xf numFmtId="0" fontId="21" fillId="5" borderId="0" xfId="0" applyFont="1" applyFill="1" applyAlignment="1">
      <alignment vertical="top" wrapText="1"/>
    </xf>
    <xf numFmtId="0" fontId="22" fillId="5" borderId="2" xfId="0" applyFont="1" applyFill="1" applyBorder="1" applyAlignment="1">
      <alignment vertical="top" wrapText="1"/>
    </xf>
    <xf numFmtId="0" fontId="21" fillId="5" borderId="2" xfId="0" applyFont="1" applyFill="1" applyBorder="1" applyAlignment="1">
      <alignment vertical="top" wrapText="1"/>
    </xf>
    <xf numFmtId="0" fontId="22" fillId="5" borderId="2" xfId="0" applyFont="1" applyFill="1" applyBorder="1" applyAlignment="1">
      <alignment horizontal="left" vertical="top" wrapText="1" indent="1"/>
    </xf>
    <xf numFmtId="0" fontId="22" fillId="5" borderId="2" xfId="0" applyFont="1" applyFill="1" applyBorder="1" applyAlignment="1">
      <alignment horizontal="left" vertical="top" wrapText="1" indent="2"/>
    </xf>
    <xf numFmtId="0" fontId="0" fillId="0" borderId="0" xfId="0" applyAlignment="1">
      <alignment horizontal="left" vertical="top"/>
    </xf>
    <xf numFmtId="1" fontId="23" fillId="0" borderId="3" xfId="0" applyNumberFormat="1" applyFont="1" applyBorder="1" applyAlignment="1">
      <alignment horizontal="center" vertical="top" shrinkToFit="1"/>
    </xf>
    <xf numFmtId="166" fontId="24" fillId="0" borderId="3" xfId="0" applyNumberFormat="1" applyFont="1" applyBorder="1" applyAlignment="1">
      <alignment horizontal="center" vertical="top" shrinkToFit="1"/>
    </xf>
    <xf numFmtId="167" fontId="24" fillId="0" borderId="3" xfId="0" applyNumberFormat="1" applyFont="1" applyBorder="1" applyAlignment="1">
      <alignment horizontal="right" vertical="top" indent="1" shrinkToFit="1"/>
    </xf>
    <xf numFmtId="167" fontId="24" fillId="0" borderId="3" xfId="0" applyNumberFormat="1" applyFont="1" applyBorder="1" applyAlignment="1">
      <alignment horizontal="center" vertical="top" shrinkToFit="1"/>
    </xf>
    <xf numFmtId="1" fontId="23" fillId="0" borderId="4" xfId="0" applyNumberFormat="1" applyFont="1" applyBorder="1" applyAlignment="1">
      <alignment horizontal="center" vertical="top" shrinkToFit="1"/>
    </xf>
    <xf numFmtId="166" fontId="24" fillId="0" borderId="4" xfId="0" applyNumberFormat="1" applyFont="1" applyBorder="1" applyAlignment="1">
      <alignment horizontal="center" vertical="center" shrinkToFit="1"/>
    </xf>
    <xf numFmtId="167" fontId="24" fillId="0" borderId="4" xfId="0" applyNumberFormat="1" applyFont="1" applyBorder="1" applyAlignment="1">
      <alignment horizontal="right" vertical="center" indent="1" shrinkToFit="1"/>
    </xf>
    <xf numFmtId="167" fontId="24" fillId="0" borderId="4" xfId="0" applyNumberFormat="1" applyFont="1" applyBorder="1" applyAlignment="1">
      <alignment horizontal="center" vertical="center" shrinkToFit="1"/>
    </xf>
    <xf numFmtId="167" fontId="24" fillId="6" borderId="4" xfId="0" applyNumberFormat="1" applyFont="1" applyFill="1" applyBorder="1" applyAlignment="1">
      <alignment horizontal="center" vertical="center" shrinkToFit="1"/>
    </xf>
    <xf numFmtId="1" fontId="23" fillId="0" borderId="5" xfId="0" applyNumberFormat="1" applyFont="1" applyBorder="1" applyAlignment="1">
      <alignment horizontal="center" vertical="center" shrinkToFit="1"/>
    </xf>
    <xf numFmtId="166" fontId="24" fillId="0" borderId="5" xfId="0" applyNumberFormat="1" applyFont="1" applyBorder="1" applyAlignment="1">
      <alignment horizontal="center" vertical="center" shrinkToFit="1"/>
    </xf>
    <xf numFmtId="167" fontId="24" fillId="0" borderId="5" xfId="0" applyNumberFormat="1" applyFont="1" applyBorder="1" applyAlignment="1">
      <alignment horizontal="right" vertical="center" indent="1" shrinkToFit="1"/>
    </xf>
    <xf numFmtId="167" fontId="24" fillId="0" borderId="5" xfId="0" applyNumberFormat="1" applyFont="1" applyBorder="1" applyAlignment="1">
      <alignment horizontal="center" vertical="center" shrinkToFit="1"/>
    </xf>
    <xf numFmtId="167" fontId="24" fillId="0" borderId="3" xfId="0" applyNumberFormat="1" applyFont="1" applyBorder="1" applyAlignment="1">
      <alignment horizontal="right" vertical="top" indent="2" shrinkToFit="1"/>
    </xf>
    <xf numFmtId="167" fontId="24" fillId="0" borderId="3" xfId="0" applyNumberFormat="1" applyFont="1" applyBorder="1" applyAlignment="1">
      <alignment horizontal="left" vertical="top" indent="4" shrinkToFit="1"/>
    </xf>
    <xf numFmtId="167" fontId="24" fillId="0" borderId="4" xfId="0" applyNumberFormat="1" applyFont="1" applyBorder="1" applyAlignment="1">
      <alignment horizontal="right" vertical="center" indent="2" shrinkToFit="1"/>
    </xf>
    <xf numFmtId="167" fontId="24" fillId="0" borderId="4" xfId="0" applyNumberFormat="1" applyFont="1" applyBorder="1" applyAlignment="1">
      <alignment horizontal="left" vertical="center" indent="4" shrinkToFit="1"/>
    </xf>
    <xf numFmtId="167" fontId="24" fillId="0" borderId="5" xfId="0" applyNumberFormat="1" applyFont="1" applyBorder="1" applyAlignment="1">
      <alignment horizontal="right" vertical="center" indent="2" shrinkToFit="1"/>
    </xf>
    <xf numFmtId="168" fontId="24" fillId="0" borderId="5" xfId="0" applyNumberFormat="1" applyFont="1" applyBorder="1" applyAlignment="1">
      <alignment horizontal="left" vertical="center" indent="4" shrinkToFit="1"/>
    </xf>
    <xf numFmtId="167" fontId="0" fillId="0" borderId="0" xfId="0" applyNumberFormat="1" applyAlignment="1">
      <alignment horizontal="left" vertical="top"/>
    </xf>
    <xf numFmtId="0" fontId="21" fillId="5" borderId="2" xfId="0" applyFont="1" applyFill="1" applyBorder="1" applyAlignment="1">
      <alignment horizontal="center" vertical="top" wrapText="1"/>
    </xf>
    <xf numFmtId="167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20" fillId="0" borderId="0" xfId="0" applyFont="1"/>
    <xf numFmtId="164" fontId="20" fillId="0" borderId="0" xfId="0" applyNumberFormat="1" applyFont="1" applyAlignment="1">
      <alignment horizontal="center"/>
    </xf>
    <xf numFmtId="17" fontId="0" fillId="0" borderId="0" xfId="0" applyNumberFormat="1"/>
    <xf numFmtId="0" fontId="0" fillId="6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0" applyNumberFormat="1"/>
    <xf numFmtId="0" fontId="19" fillId="0" borderId="0" xfId="0" applyFont="1"/>
    <xf numFmtId="0" fontId="25" fillId="0" borderId="0" xfId="0" applyFont="1" applyAlignment="1">
      <alignment horizontal="center"/>
    </xf>
    <xf numFmtId="0" fontId="25" fillId="0" borderId="0" xfId="0" applyFont="1"/>
    <xf numFmtId="3" fontId="25" fillId="0" borderId="0" xfId="0" applyNumberFormat="1" applyFont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26" fillId="0" borderId="0" xfId="0" applyNumberFormat="1" applyFont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ubilar\Recotoner%20Dropbox\henry%20rubilar\C_Henry_Rubilar\GERENCIA\REUNION%20ASESOR%2002.07.2025\PROYECCIONES_2025_2026_V_26.05.2025.xlsx" TargetMode="External"/><Relationship Id="rId1" Type="http://schemas.openxmlformats.org/officeDocument/2006/relationships/externalLinkPath" Target="/Users/Hrubilar/Recotoner%20Dropbox/henry%20rubilar/C_Henry_Rubilar/GERENCIA/REUNION%20ASESOR%2002.07.2025/PROYECCIONES_2025_2026_V_26.05.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rubilar\Recotoner%20Dropbox\henry%20rubilar\C_Henry_Rubilar\GERENCIA\REUNION%20ASESOR%2002.07.2025\tblInfFlujoCaja_junio_julio_2025.xlsx" TargetMode="External"/><Relationship Id="rId1" Type="http://schemas.openxmlformats.org/officeDocument/2006/relationships/externalLinkPath" Target="/Users/Hrubilar/Recotoner%20Dropbox/henry%20rubilar/C_Henry_Rubilar/GERENCIA/REUNION%20ASESOR%2002.07.2025/tblInfFlujoCaja_junio_julio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SUPUESTO_PROMEDIO"/>
      <sheetName val="PRESUPUESTO_OPTIMISTA"/>
      <sheetName val="PRESUPUESTO_REALISTA"/>
      <sheetName val="PROYECCIONES IA "/>
      <sheetName val="DETALLE PROYECCIÓN INGRESOS"/>
      <sheetName val="TABLA_CREDITO"/>
      <sheetName val="REMUNERACIONES "/>
      <sheetName val="ARRIENDO_OFICINA"/>
      <sheetName val="ALMACENAMIENTO "/>
      <sheetName val="MARGENES_ESTIMADOS "/>
      <sheetName val="Din_ventas_grupo_Prisa"/>
      <sheetName val="INGRESOS PROYECTADOS POR LINEA "/>
      <sheetName val="ART_ASEO y QUIM"/>
      <sheetName val="OTROS PRODUCTOS "/>
      <sheetName val="INGRESOS PROD_RECOTONER"/>
      <sheetName val="DISTR_SUR "/>
      <sheetName val="VENTAS_GRUPO_PRISA_ULT_CUATR"/>
      <sheetName val="DETALLE_AHORRO_COSTOS_ESTIMADOS"/>
    </sheetNames>
    <sheetDataSet>
      <sheetData sheetId="0"/>
      <sheetData sheetId="1"/>
      <sheetData sheetId="2"/>
      <sheetData sheetId="3">
        <row r="23">
          <cell r="B23">
            <v>45217000</v>
          </cell>
        </row>
        <row r="24">
          <cell r="B24">
            <v>47483000.000000007</v>
          </cell>
        </row>
        <row r="25">
          <cell r="B25">
            <v>48719000</v>
          </cell>
        </row>
        <row r="26">
          <cell r="B26">
            <v>51603000</v>
          </cell>
        </row>
        <row r="27">
          <cell r="B27">
            <v>55723000.000000007</v>
          </cell>
        </row>
        <row r="28">
          <cell r="B28">
            <v>56341000</v>
          </cell>
        </row>
        <row r="29">
          <cell r="B29">
            <v>60976000.000000007</v>
          </cell>
        </row>
        <row r="30">
          <cell r="B30">
            <v>62109000</v>
          </cell>
        </row>
        <row r="31">
          <cell r="B31">
            <v>68289000</v>
          </cell>
        </row>
        <row r="32">
          <cell r="B32">
            <v>73542000</v>
          </cell>
        </row>
        <row r="33">
          <cell r="B33">
            <v>76323000</v>
          </cell>
        </row>
        <row r="34">
          <cell r="B34">
            <v>77147000</v>
          </cell>
        </row>
      </sheetData>
      <sheetData sheetId="4"/>
      <sheetData sheetId="5">
        <row r="4">
          <cell r="D4">
            <v>290953</v>
          </cell>
          <cell r="F4">
            <v>18651</v>
          </cell>
        </row>
        <row r="5">
          <cell r="D5">
            <v>288615</v>
          </cell>
          <cell r="F5">
            <v>18501</v>
          </cell>
        </row>
        <row r="6">
          <cell r="D6">
            <v>294634</v>
          </cell>
          <cell r="F6">
            <v>18887</v>
          </cell>
        </row>
        <row r="7">
          <cell r="D7">
            <v>263886</v>
          </cell>
          <cell r="F7">
            <v>16916</v>
          </cell>
        </row>
        <row r="8">
          <cell r="D8">
            <v>251234</v>
          </cell>
          <cell r="F8">
            <v>16105</v>
          </cell>
        </row>
        <row r="9">
          <cell r="D9">
            <v>246398</v>
          </cell>
          <cell r="F9">
            <v>15795</v>
          </cell>
        </row>
        <row r="10">
          <cell r="D10">
            <v>225615</v>
          </cell>
          <cell r="F10">
            <v>14463</v>
          </cell>
        </row>
        <row r="11">
          <cell r="D11">
            <v>233821</v>
          </cell>
          <cell r="F11">
            <v>14989</v>
          </cell>
        </row>
        <row r="12">
          <cell r="D12">
            <v>192946</v>
          </cell>
          <cell r="F12">
            <v>12368</v>
          </cell>
        </row>
        <row r="13">
          <cell r="D13">
            <v>173795</v>
          </cell>
          <cell r="F13">
            <v>11141</v>
          </cell>
        </row>
        <row r="14">
          <cell r="D14">
            <v>178373</v>
          </cell>
          <cell r="F14">
            <v>11434</v>
          </cell>
        </row>
        <row r="15">
          <cell r="D15">
            <v>164380</v>
          </cell>
          <cell r="F15">
            <v>10537</v>
          </cell>
        </row>
      </sheetData>
      <sheetData sheetId="6">
        <row r="22">
          <cell r="C22">
            <v>18989354</v>
          </cell>
        </row>
        <row r="23">
          <cell r="C23">
            <v>18989354</v>
          </cell>
        </row>
        <row r="24">
          <cell r="C24">
            <v>18749354</v>
          </cell>
        </row>
        <row r="25">
          <cell r="C25">
            <v>18869354</v>
          </cell>
        </row>
        <row r="26">
          <cell r="C26">
            <v>19109354</v>
          </cell>
        </row>
        <row r="27">
          <cell r="C27">
            <v>19469354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d"/>
      <sheetName val="por cobrar vencido"/>
      <sheetName val="ventas proyectadas "/>
      <sheetName val="HONORARIOS "/>
      <sheetName val="EJECUCION JUNIO 2025"/>
      <sheetName val="CUENTAS POR PAGAR VENCIDO "/>
      <sheetName val="IMPUESTOS "/>
    </sheetNames>
    <sheetDataSet>
      <sheetData sheetId="0"/>
      <sheetData sheetId="1">
        <row r="70">
          <cell r="M70">
            <v>3412482</v>
          </cell>
        </row>
      </sheetData>
      <sheetData sheetId="2"/>
      <sheetData sheetId="3">
        <row r="13">
          <cell r="F13">
            <v>1690657</v>
          </cell>
        </row>
      </sheetData>
      <sheetData sheetId="4"/>
      <sheetData sheetId="5">
        <row r="28">
          <cell r="L28">
            <v>9844270</v>
          </cell>
        </row>
      </sheetData>
      <sheetData sheetId="6">
        <row r="9">
          <cell r="E9">
            <v>5007183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A17" sqref="A17"/>
    </sheetView>
  </sheetViews>
  <sheetFormatPr baseColWidth="10" defaultRowHeight="15.6"/>
  <cols>
    <col min="1" max="1" width="77.296875" customWidth="1"/>
    <col min="2" max="2" width="18.59765625" customWidth="1"/>
    <col min="3" max="3" width="16.296875" customWidth="1"/>
  </cols>
  <sheetData>
    <row r="1" spans="1:13">
      <c r="A1" t="s">
        <v>2</v>
      </c>
      <c r="B1" s="94" t="s">
        <v>3</v>
      </c>
      <c r="C1" s="94" t="s">
        <v>4</v>
      </c>
      <c r="D1" s="94" t="s">
        <v>5</v>
      </c>
      <c r="E1" s="94" t="s">
        <v>6</v>
      </c>
      <c r="F1" s="94" t="s">
        <v>7</v>
      </c>
      <c r="G1" s="94" t="s">
        <v>8</v>
      </c>
      <c r="H1" s="94" t="s">
        <v>9</v>
      </c>
      <c r="I1" s="94" t="s">
        <v>10</v>
      </c>
      <c r="J1" s="94" t="s">
        <v>11</v>
      </c>
      <c r="K1" s="94" t="s">
        <v>12</v>
      </c>
      <c r="L1" s="94" t="s">
        <v>13</v>
      </c>
      <c r="M1" s="94" t="s">
        <v>14</v>
      </c>
    </row>
    <row r="2" spans="1:13">
      <c r="A2" t="s">
        <v>15</v>
      </c>
    </row>
    <row r="3" spans="1:13">
      <c r="A3" t="s">
        <v>16</v>
      </c>
      <c r="B3" s="102">
        <v>10025965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>SUM(B3:L3)</f>
        <v>10025965</v>
      </c>
    </row>
    <row r="4" spans="1:13">
      <c r="A4" t="s">
        <v>185</v>
      </c>
      <c r="B4" s="2">
        <f>+'FLUJO INGRESOS '!C8</f>
        <v>50854293.000000007</v>
      </c>
      <c r="C4" s="2">
        <f>+'FLUJO INGRESOS '!D8</f>
        <v>52178049</v>
      </c>
      <c r="D4" s="2">
        <f>+'FLUJO INGRESOS '!E8</f>
        <v>55266813</v>
      </c>
      <c r="E4" s="2">
        <f>+'FLUJO INGRESOS '!F8</f>
        <v>59679333.000000007</v>
      </c>
      <c r="F4" s="2">
        <f>+'FLUJO INGRESOS '!G8</f>
        <v>60341211</v>
      </c>
      <c r="G4" s="2">
        <f>+'FLUJO INGRESOS '!H8</f>
        <v>65305296</v>
      </c>
      <c r="H4" s="2">
        <f>+'FLUJO INGRESOS '!I8</f>
        <v>66518739</v>
      </c>
      <c r="I4" s="2">
        <f>+'FLUJO INGRESOS '!J8</f>
        <v>73137519</v>
      </c>
      <c r="J4" s="2">
        <f>+'FLUJO INGRESOS '!K8</f>
        <v>78763482</v>
      </c>
      <c r="K4" s="2">
        <f>+'FLUJO INGRESOS '!L8</f>
        <v>81741933</v>
      </c>
      <c r="L4" s="2">
        <f>+'FLUJO INGRESOS '!M8</f>
        <v>82624437</v>
      </c>
      <c r="M4" s="2">
        <f t="shared" ref="M4:M25" si="0">SUM(B4:L4)</f>
        <v>726411105</v>
      </c>
    </row>
    <row r="5" spans="1:13">
      <c r="A5" t="s">
        <v>100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>
        <f t="shared" si="0"/>
        <v>0</v>
      </c>
    </row>
    <row r="6" spans="1:1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f t="shared" si="0"/>
        <v>0</v>
      </c>
    </row>
    <row r="7" spans="1:1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f t="shared" si="0"/>
        <v>0</v>
      </c>
    </row>
    <row r="8" spans="1:13">
      <c r="A8" s="95" t="s">
        <v>18</v>
      </c>
      <c r="B8" s="96">
        <f t="shared" ref="B8:L8" si="1">SUM(B3:B7)</f>
        <v>60880258.000000007</v>
      </c>
      <c r="C8" s="96">
        <f t="shared" si="1"/>
        <v>52178049</v>
      </c>
      <c r="D8" s="96">
        <f t="shared" si="1"/>
        <v>55266813</v>
      </c>
      <c r="E8" s="96">
        <f t="shared" si="1"/>
        <v>59679333.000000007</v>
      </c>
      <c r="F8" s="96">
        <f t="shared" si="1"/>
        <v>60341211</v>
      </c>
      <c r="G8" s="96">
        <f t="shared" si="1"/>
        <v>65305296</v>
      </c>
      <c r="H8" s="96">
        <f t="shared" si="1"/>
        <v>66518739</v>
      </c>
      <c r="I8" s="96">
        <f t="shared" si="1"/>
        <v>73137519</v>
      </c>
      <c r="J8" s="96">
        <f t="shared" si="1"/>
        <v>78763482</v>
      </c>
      <c r="K8" s="96">
        <f t="shared" si="1"/>
        <v>81741933</v>
      </c>
      <c r="L8" s="96">
        <f t="shared" si="1"/>
        <v>82624437</v>
      </c>
      <c r="M8" s="96">
        <f t="shared" si="0"/>
        <v>736437070</v>
      </c>
    </row>
    <row r="9" spans="1:1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f t="shared" si="0"/>
        <v>0</v>
      </c>
    </row>
    <row r="10" spans="1:13">
      <c r="A10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f t="shared" si="0"/>
        <v>0</v>
      </c>
    </row>
    <row r="11" spans="1:13">
      <c r="A11" t="s">
        <v>183</v>
      </c>
      <c r="B11" s="2">
        <v>4842222</v>
      </c>
      <c r="C11" s="2">
        <f>+B11</f>
        <v>4842222</v>
      </c>
      <c r="D11" s="2">
        <f t="shared" ref="D11:L11" si="2">+C11</f>
        <v>4842222</v>
      </c>
      <c r="E11" s="2">
        <f t="shared" si="2"/>
        <v>4842222</v>
      </c>
      <c r="F11" s="2">
        <f t="shared" si="2"/>
        <v>4842222</v>
      </c>
      <c r="G11" s="2">
        <f t="shared" si="2"/>
        <v>4842222</v>
      </c>
      <c r="H11" s="2">
        <f t="shared" si="2"/>
        <v>4842222</v>
      </c>
      <c r="I11" s="2">
        <f t="shared" si="2"/>
        <v>4842222</v>
      </c>
      <c r="J11" s="2">
        <f t="shared" si="2"/>
        <v>4842222</v>
      </c>
      <c r="K11" s="2">
        <f t="shared" si="2"/>
        <v>4842222</v>
      </c>
      <c r="L11" s="2">
        <f t="shared" si="2"/>
        <v>4842222</v>
      </c>
      <c r="M11" s="2">
        <f t="shared" si="0"/>
        <v>53264442</v>
      </c>
    </row>
    <row r="12" spans="1:13">
      <c r="A12" t="s">
        <v>184</v>
      </c>
      <c r="B12" s="2">
        <f>+B4*'proveedores_mensuales '!$Q$84</f>
        <v>15256287.900000002</v>
      </c>
      <c r="C12" s="2">
        <f>+C4*'proveedores_mensuales '!$Q$84</f>
        <v>15653414.699999999</v>
      </c>
      <c r="D12" s="2">
        <f>+D4*'proveedores_mensuales '!$Q$84</f>
        <v>16580043.899999999</v>
      </c>
      <c r="E12" s="2">
        <f>+E4*'proveedores_mensuales '!$Q$84</f>
        <v>17903799.900000002</v>
      </c>
      <c r="F12" s="2">
        <f>+F4*'proveedores_mensuales '!$Q$84</f>
        <v>18102363.300000001</v>
      </c>
      <c r="G12" s="2">
        <f>+G4*'proveedores_mensuales '!$Q$84</f>
        <v>19591588.800000001</v>
      </c>
      <c r="H12" s="2">
        <f>+H4*'proveedores_mensuales '!$Q$84</f>
        <v>19955621.699999999</v>
      </c>
      <c r="I12" s="2">
        <f>+I4*'proveedores_mensuales '!$Q$84</f>
        <v>21941255.699999999</v>
      </c>
      <c r="J12" s="2">
        <f>+J4*'proveedores_mensuales '!$Q$84</f>
        <v>23629044.599999998</v>
      </c>
      <c r="K12" s="2">
        <f>+K4*'proveedores_mensuales '!$Q$84</f>
        <v>24522579.899999999</v>
      </c>
      <c r="L12" s="2">
        <f>+L4*'proveedores_mensuales '!$Q$84</f>
        <v>24787331.099999998</v>
      </c>
      <c r="M12" s="2">
        <f t="shared" si="0"/>
        <v>217923331.5</v>
      </c>
    </row>
    <row r="13" spans="1:13">
      <c r="A13" t="s">
        <v>88</v>
      </c>
      <c r="B13" s="2">
        <f>+REMUNERACIONES_PPTO!C4</f>
        <v>14153718</v>
      </c>
      <c r="C13" s="2">
        <f>+REMUNERACIONES_PPTO!C5</f>
        <v>13961718</v>
      </c>
      <c r="D13" s="2">
        <f>+REMUNERACIONES_PPTO!C6</f>
        <v>14057718</v>
      </c>
      <c r="E13" s="2">
        <f>+REMUNERACIONES_PPTO!C7</f>
        <v>14249718</v>
      </c>
      <c r="F13" s="2">
        <f>+REMUNERACIONES_PPTO!C8</f>
        <v>14537718</v>
      </c>
      <c r="G13" s="2">
        <f>+REMUNERACIONES_PPTO!C9</f>
        <v>14537718</v>
      </c>
      <c r="H13" s="2">
        <f>+REMUNERACIONES_PPTO!C10</f>
        <v>14537718</v>
      </c>
      <c r="I13" s="2">
        <f>+REMUNERACIONES_PPTO!C11</f>
        <v>14537718</v>
      </c>
      <c r="J13" s="2">
        <f>+REMUNERACIONES_PPTO!C12</f>
        <v>14537718</v>
      </c>
      <c r="K13" s="2">
        <f>+REMUNERACIONES_PPTO!C13</f>
        <v>14537718</v>
      </c>
      <c r="L13" s="2">
        <f>+REMUNERACIONES_PPTO!C14</f>
        <v>14537718</v>
      </c>
      <c r="M13" s="2">
        <f t="shared" si="0"/>
        <v>158186898</v>
      </c>
    </row>
    <row r="14" spans="1:13">
      <c r="A14" t="s">
        <v>270</v>
      </c>
      <c r="B14" s="2">
        <f>885000+730000</f>
        <v>1615000</v>
      </c>
      <c r="C14" s="2">
        <f>+B14</f>
        <v>1615000</v>
      </c>
      <c r="D14" s="2">
        <f t="shared" ref="D14:L14" si="3">+C14</f>
        <v>1615000</v>
      </c>
      <c r="E14" s="2">
        <f t="shared" si="3"/>
        <v>1615000</v>
      </c>
      <c r="F14" s="2">
        <f t="shared" si="3"/>
        <v>1615000</v>
      </c>
      <c r="G14" s="2">
        <f t="shared" si="3"/>
        <v>1615000</v>
      </c>
      <c r="H14" s="2">
        <f t="shared" si="3"/>
        <v>1615000</v>
      </c>
      <c r="I14" s="2">
        <f t="shared" si="3"/>
        <v>1615000</v>
      </c>
      <c r="J14" s="2">
        <f t="shared" si="3"/>
        <v>1615000</v>
      </c>
      <c r="K14" s="2">
        <f t="shared" si="3"/>
        <v>1615000</v>
      </c>
      <c r="L14" s="2">
        <f t="shared" si="3"/>
        <v>1615000</v>
      </c>
      <c r="M14" s="2">
        <f t="shared" si="0"/>
        <v>17765000</v>
      </c>
    </row>
    <row r="15" spans="1:13">
      <c r="A15" t="s">
        <v>91</v>
      </c>
      <c r="B15" s="2">
        <f>+'IMPUESTOS PROYECTADOS '!C9</f>
        <v>5818955.5</v>
      </c>
      <c r="C15" s="2">
        <f>+'IMPUESTOS PROYECTADOS '!H9</f>
        <v>6904268.91764706</v>
      </c>
      <c r="D15" s="2">
        <f>+'IMPUESTOS PROYECTADOS '!M9</f>
        <v>6994249.7176470589</v>
      </c>
      <c r="E15" s="2">
        <f>+'IMPUESTOS PROYECTADOS '!R9</f>
        <v>7338063.717647058</v>
      </c>
      <c r="F15" s="2">
        <f>+'IMPUESTOS PROYECTADOS '!V9</f>
        <v>8099460.3176470604</v>
      </c>
      <c r="G15" s="2">
        <f>+'IMPUESTOS PROYECTADOS '!AA9</f>
        <v>7980649.8176470585</v>
      </c>
      <c r="H15" s="2">
        <f>+'IMPUESTOS PROYECTADOS '!AF9</f>
        <v>8814764.41764706</v>
      </c>
      <c r="I15" s="2">
        <f>+'IMPUESTOS PROYECTADOS '!AK9</f>
        <v>9905482.91764706</v>
      </c>
      <c r="J15" s="2">
        <f>+'IMPUESTOS PROYECTADOS '!AP9</f>
        <v>9636004.0176470578</v>
      </c>
      <c r="K15" s="2">
        <f>+'IMPUESTOS PROYECTADOS '!AU9</f>
        <v>10504541.217647059</v>
      </c>
      <c r="L15" s="2">
        <f>+'IMPUESTOS PROYECTADOS '!AZ9</f>
        <v>10997612.517647058</v>
      </c>
      <c r="M15" s="2">
        <f t="shared" si="0"/>
        <v>92994053.076470599</v>
      </c>
    </row>
    <row r="16" spans="1:13">
      <c r="A16" t="s">
        <v>92</v>
      </c>
      <c r="B16" s="2">
        <f>+REMUNERACIONES_PPTO!D4</f>
        <v>4835636</v>
      </c>
      <c r="C16" s="2">
        <f>+REMUNERACIONES_PPTO!D5</f>
        <v>4787636</v>
      </c>
      <c r="D16" s="2">
        <f>+REMUNERACIONES_PPTO!D5</f>
        <v>4787636</v>
      </c>
      <c r="E16" s="2">
        <f>+REMUNERACIONES_PPTO!D7</f>
        <v>4859636</v>
      </c>
      <c r="F16" s="2">
        <f>+REMUNERACIONES_PPTO!D8</f>
        <v>4931636</v>
      </c>
      <c r="G16" s="2">
        <f>+REMUNERACIONES_PPTO!D9</f>
        <v>4931636</v>
      </c>
      <c r="H16" s="2">
        <f>+REMUNERACIONES_PPTO!D10</f>
        <v>4931636</v>
      </c>
      <c r="I16" s="2">
        <f>+REMUNERACIONES_PPTO!D11</f>
        <v>4931636</v>
      </c>
      <c r="J16" s="2">
        <f>+REMUNERACIONES_PPTO!D12</f>
        <v>4931636</v>
      </c>
      <c r="K16" s="2">
        <f>+REMUNERACIONES_PPTO!D13</f>
        <v>4931636</v>
      </c>
      <c r="L16" s="2">
        <f>+REMUNERACIONES_PPTO!D14</f>
        <v>4931636</v>
      </c>
      <c r="M16" s="2">
        <f t="shared" si="0"/>
        <v>53791996</v>
      </c>
    </row>
    <row r="17" spans="1:13">
      <c r="A17" t="s">
        <v>93</v>
      </c>
      <c r="B17" s="2">
        <v>1690000</v>
      </c>
      <c r="C17" s="2">
        <v>1690000</v>
      </c>
      <c r="D17" s="2">
        <v>1690000</v>
      </c>
      <c r="E17" s="2">
        <v>1690000</v>
      </c>
      <c r="F17" s="2">
        <v>1690000</v>
      </c>
      <c r="G17" s="2">
        <v>1690000</v>
      </c>
      <c r="H17" s="2">
        <v>1690000</v>
      </c>
      <c r="I17" s="2">
        <v>1690000</v>
      </c>
      <c r="J17" s="2">
        <v>1690000</v>
      </c>
      <c r="K17" s="2">
        <v>1690000</v>
      </c>
      <c r="L17" s="2">
        <v>1690000</v>
      </c>
      <c r="M17" s="2">
        <f t="shared" si="0"/>
        <v>18590000</v>
      </c>
    </row>
    <row r="18" spans="1:13">
      <c r="A18" t="s">
        <v>95</v>
      </c>
      <c r="B18" s="2">
        <v>1100000</v>
      </c>
      <c r="C18" s="2">
        <v>1400000</v>
      </c>
      <c r="D18" s="2">
        <v>1400000</v>
      </c>
      <c r="E18" s="2">
        <v>1400000</v>
      </c>
      <c r="F18" s="2">
        <v>1400000</v>
      </c>
      <c r="G18" s="2">
        <v>1400000</v>
      </c>
      <c r="H18" s="2">
        <v>1400000</v>
      </c>
      <c r="I18" s="2">
        <v>1400000</v>
      </c>
      <c r="J18" s="2">
        <v>1400000</v>
      </c>
      <c r="K18" s="2">
        <v>1400000</v>
      </c>
      <c r="L18" s="2">
        <v>1400000</v>
      </c>
      <c r="M18" s="2">
        <f t="shared" si="0"/>
        <v>15100000</v>
      </c>
    </row>
    <row r="19" spans="1:13">
      <c r="A19" t="s">
        <v>186</v>
      </c>
      <c r="B19" s="2">
        <f>+'TABLA CREDITO '!G6</f>
        <v>1499369</v>
      </c>
      <c r="C19" s="2">
        <f>+'TABLA CREDITO '!G7</f>
        <v>1497398</v>
      </c>
      <c r="D19" s="2">
        <f>+'TABLA CREDITO '!G8</f>
        <v>1496587</v>
      </c>
      <c r="E19" s="2">
        <f>+'TABLA CREDITO '!G9</f>
        <v>1496277</v>
      </c>
      <c r="F19" s="2">
        <f>+'TABLA CREDITO '!G10</f>
        <v>1494945</v>
      </c>
      <c r="G19" s="2">
        <f>+'TABLA CREDITO '!G11</f>
        <v>1495471</v>
      </c>
      <c r="H19" s="2">
        <f>+'TABLA CREDITO '!G12</f>
        <v>1492850</v>
      </c>
      <c r="I19" s="2">
        <f>+'TABLA CREDITO '!G13</f>
        <v>1491623</v>
      </c>
      <c r="J19" s="2">
        <f>+'TABLA CREDITO '!G14</f>
        <v>1491916</v>
      </c>
      <c r="K19" s="2">
        <f>+'TABLA CREDITO '!G15</f>
        <v>1491019</v>
      </c>
      <c r="L19" s="2">
        <f>+'TABLA CREDITO '!G16</f>
        <v>1489802</v>
      </c>
      <c r="M19" s="2">
        <f t="shared" si="0"/>
        <v>16437257</v>
      </c>
    </row>
    <row r="20" spans="1:13">
      <c r="A20" t="s">
        <v>269</v>
      </c>
      <c r="B20" s="2">
        <v>211118</v>
      </c>
      <c r="C20" s="2">
        <f>+B20</f>
        <v>211118</v>
      </c>
      <c r="D20" s="2">
        <f>+C20</f>
        <v>211118</v>
      </c>
      <c r="E20" s="2">
        <f t="shared" ref="E20:L20" si="4">+D20</f>
        <v>211118</v>
      </c>
      <c r="F20" s="2">
        <f t="shared" si="4"/>
        <v>211118</v>
      </c>
      <c r="G20" s="2">
        <f t="shared" si="4"/>
        <v>211118</v>
      </c>
      <c r="H20" s="2">
        <f t="shared" si="4"/>
        <v>211118</v>
      </c>
      <c r="I20" s="2">
        <f t="shared" si="4"/>
        <v>211118</v>
      </c>
      <c r="J20" s="2">
        <f t="shared" si="4"/>
        <v>211118</v>
      </c>
      <c r="K20" s="2">
        <f t="shared" si="4"/>
        <v>211118</v>
      </c>
      <c r="L20" s="2">
        <f t="shared" si="4"/>
        <v>211118</v>
      </c>
      <c r="M20" s="2">
        <f t="shared" si="0"/>
        <v>2322298</v>
      </c>
    </row>
    <row r="21" spans="1:13">
      <c r="A21" t="s">
        <v>277</v>
      </c>
      <c r="B21" s="2"/>
      <c r="C21" s="2"/>
      <c r="D21" s="2"/>
      <c r="E21" s="2"/>
      <c r="F21" s="2"/>
      <c r="G21" s="103">
        <v>2500000</v>
      </c>
      <c r="H21" s="2"/>
      <c r="I21" s="2"/>
      <c r="J21" s="2"/>
      <c r="K21" s="2"/>
      <c r="L21" s="2"/>
      <c r="M21" s="2">
        <f t="shared" si="0"/>
        <v>2500000</v>
      </c>
    </row>
    <row r="22" spans="1:1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f t="shared" si="0"/>
        <v>0</v>
      </c>
    </row>
    <row r="23" spans="1:13">
      <c r="A23" s="95" t="s">
        <v>21</v>
      </c>
      <c r="B23" s="96">
        <f t="shared" ref="B23:L23" si="5">SUM(B11:B22)</f>
        <v>51022306.400000006</v>
      </c>
      <c r="C23" s="96">
        <f t="shared" si="5"/>
        <v>52562775.617647067</v>
      </c>
      <c r="D23" s="96">
        <f t="shared" si="5"/>
        <v>53674574.617647059</v>
      </c>
      <c r="E23" s="96">
        <f t="shared" si="5"/>
        <v>55605834.617647067</v>
      </c>
      <c r="F23" s="96">
        <f t="shared" si="5"/>
        <v>56924462.617647059</v>
      </c>
      <c r="G23" s="96">
        <f t="shared" si="5"/>
        <v>60795403.617647052</v>
      </c>
      <c r="H23" s="96">
        <f t="shared" si="5"/>
        <v>59490930.117647067</v>
      </c>
      <c r="I23" s="96">
        <f t="shared" si="5"/>
        <v>62566055.617647067</v>
      </c>
      <c r="J23" s="96">
        <f t="shared" si="5"/>
        <v>63984658.617647052</v>
      </c>
      <c r="K23" s="96">
        <f t="shared" si="5"/>
        <v>65745834.117647059</v>
      </c>
      <c r="L23" s="96">
        <f t="shared" si="5"/>
        <v>66502439.617647052</v>
      </c>
      <c r="M23" s="96">
        <f t="shared" si="0"/>
        <v>648875275.57647061</v>
      </c>
    </row>
    <row r="24" spans="1:13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>
        <f t="shared" si="0"/>
        <v>0</v>
      </c>
    </row>
    <row r="25" spans="1:13">
      <c r="A25" s="95" t="s">
        <v>22</v>
      </c>
      <c r="B25" s="96">
        <f t="shared" ref="B25:L25" si="6">+B8-B23</f>
        <v>9857951.6000000015</v>
      </c>
      <c r="C25" s="96">
        <f t="shared" si="6"/>
        <v>-384726.61764706671</v>
      </c>
      <c r="D25" s="96">
        <f t="shared" si="6"/>
        <v>1592238.3823529407</v>
      </c>
      <c r="E25" s="96">
        <f t="shared" si="6"/>
        <v>4073498.3823529407</v>
      </c>
      <c r="F25" s="96">
        <f t="shared" si="6"/>
        <v>3416748.3823529407</v>
      </c>
      <c r="G25" s="96">
        <f t="shared" si="6"/>
        <v>4509892.3823529482</v>
      </c>
      <c r="H25" s="96">
        <f t="shared" si="6"/>
        <v>7027808.8823529333</v>
      </c>
      <c r="I25" s="96">
        <f t="shared" si="6"/>
        <v>10571463.382352933</v>
      </c>
      <c r="J25" s="96">
        <f t="shared" si="6"/>
        <v>14778823.382352948</v>
      </c>
      <c r="K25" s="96">
        <f t="shared" si="6"/>
        <v>15996098.882352941</v>
      </c>
      <c r="L25" s="96">
        <f t="shared" si="6"/>
        <v>16121997.382352948</v>
      </c>
      <c r="M25" s="102">
        <f t="shared" si="0"/>
        <v>87561794.423529416</v>
      </c>
    </row>
    <row r="26" spans="1:13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</row>
    <row r="27" spans="1:13">
      <c r="A27" s="95" t="s">
        <v>23</v>
      </c>
      <c r="B27" s="96">
        <f>+B25</f>
        <v>9857951.6000000015</v>
      </c>
      <c r="C27" s="96">
        <f>+B27+C25</f>
        <v>9473224.9823529348</v>
      </c>
      <c r="D27" s="96">
        <f t="shared" ref="D27:L27" si="7">+C27+D25</f>
        <v>11065463.364705876</v>
      </c>
      <c r="E27" s="96">
        <f t="shared" si="7"/>
        <v>15138961.747058816</v>
      </c>
      <c r="F27" s="102">
        <f t="shared" si="7"/>
        <v>18555710.129411757</v>
      </c>
      <c r="G27" s="96">
        <f t="shared" si="7"/>
        <v>23065602.511764705</v>
      </c>
      <c r="H27" s="96">
        <f t="shared" si="7"/>
        <v>30093411.394117638</v>
      </c>
      <c r="I27" s="96">
        <f t="shared" si="7"/>
        <v>40664874.776470572</v>
      </c>
      <c r="J27" s="102">
        <f t="shared" si="7"/>
        <v>55443698.15882352</v>
      </c>
      <c r="K27" s="102">
        <f t="shared" si="7"/>
        <v>71439797.041176468</v>
      </c>
      <c r="L27" s="102">
        <f t="shared" si="7"/>
        <v>87561794.423529416</v>
      </c>
      <c r="M27" s="96"/>
    </row>
    <row r="31" spans="1:13">
      <c r="L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4FA3-CB09-4E68-BCCA-B59DECF63C19}">
  <dimension ref="A1:Q91"/>
  <sheetViews>
    <sheetView topLeftCell="B1" workbookViewId="0">
      <selection activeCell="G4" sqref="G4"/>
    </sheetView>
  </sheetViews>
  <sheetFormatPr baseColWidth="10" defaultColWidth="8" defaultRowHeight="15.6"/>
  <cols>
    <col min="1" max="1" width="15.296875" style="3" customWidth="1"/>
    <col min="2" max="2" width="43.8984375" customWidth="1"/>
    <col min="3" max="3" width="11.09765625" customWidth="1"/>
    <col min="4" max="4" width="12.8984375" customWidth="1"/>
    <col min="5" max="5" width="18.19921875" customWidth="1"/>
    <col min="6" max="6" width="18.59765625" customWidth="1"/>
    <col min="7" max="7" width="20.69921875" customWidth="1"/>
    <col min="8" max="14" width="22.5" customWidth="1"/>
    <col min="15" max="15" width="15.8984375" customWidth="1"/>
    <col min="16" max="16" width="27.796875" style="3" customWidth="1"/>
    <col min="17" max="17" width="34.296875" style="3" customWidth="1"/>
  </cols>
  <sheetData>
    <row r="1" spans="1:17">
      <c r="C1" s="4"/>
      <c r="E1" s="5"/>
      <c r="F1" s="4"/>
    </row>
    <row r="2" spans="1:17">
      <c r="A2" s="6" t="s">
        <v>24</v>
      </c>
      <c r="B2" s="6" t="s">
        <v>25</v>
      </c>
      <c r="C2" s="7">
        <v>45839</v>
      </c>
      <c r="D2" s="7">
        <v>45870</v>
      </c>
      <c r="E2" s="7">
        <v>45901</v>
      </c>
      <c r="F2" s="7">
        <v>45931</v>
      </c>
      <c r="G2" s="7">
        <v>45962</v>
      </c>
      <c r="H2" s="7">
        <v>45992</v>
      </c>
      <c r="I2" s="7">
        <v>46023</v>
      </c>
      <c r="J2" s="7">
        <v>46054</v>
      </c>
      <c r="K2" s="7">
        <v>46082</v>
      </c>
      <c r="L2" s="7">
        <v>46113</v>
      </c>
      <c r="M2" s="7">
        <v>46143</v>
      </c>
      <c r="N2" s="7">
        <v>46174</v>
      </c>
      <c r="O2" s="6" t="s">
        <v>26</v>
      </c>
      <c r="Q2" s="8" t="s">
        <v>27</v>
      </c>
    </row>
    <row r="3" spans="1:17">
      <c r="A3" s="3">
        <v>300000</v>
      </c>
      <c r="B3" t="s">
        <v>15</v>
      </c>
    </row>
    <row r="4" spans="1:17">
      <c r="A4" s="3">
        <v>310000</v>
      </c>
      <c r="B4" s="9" t="s">
        <v>28</v>
      </c>
      <c r="C4" s="10">
        <f>+'[1]PROYECCIONES IA '!B23</f>
        <v>45217000</v>
      </c>
      <c r="D4" s="10">
        <f>+'[1]PROYECCIONES IA '!B24</f>
        <v>47483000.000000007</v>
      </c>
      <c r="E4" s="10">
        <f>+'[1]PROYECCIONES IA '!B25</f>
        <v>48719000</v>
      </c>
      <c r="F4" s="10">
        <f>+'[1]PROYECCIONES IA '!B26</f>
        <v>51603000</v>
      </c>
      <c r="G4" s="10">
        <f>+'[1]PROYECCIONES IA '!B27</f>
        <v>55723000.000000007</v>
      </c>
      <c r="H4" s="10">
        <f>+'[1]PROYECCIONES IA '!B28</f>
        <v>56341000</v>
      </c>
      <c r="I4" s="10">
        <f>+'[1]PROYECCIONES IA '!B29</f>
        <v>60976000.000000007</v>
      </c>
      <c r="J4" s="10">
        <f>+'[1]PROYECCIONES IA '!B30</f>
        <v>62109000</v>
      </c>
      <c r="K4" s="10">
        <f>+'[1]PROYECCIONES IA '!B31</f>
        <v>68289000</v>
      </c>
      <c r="L4" s="10">
        <f>+'[1]PROYECCIONES IA '!B32</f>
        <v>73542000</v>
      </c>
      <c r="M4" s="10">
        <f>+'[1]PROYECCIONES IA '!B33</f>
        <v>76323000</v>
      </c>
      <c r="N4" s="10">
        <f>+'[1]PROYECCIONES IA '!B34</f>
        <v>77147000</v>
      </c>
      <c r="O4" s="11">
        <f>SUM(C4:N4)</f>
        <v>723472000</v>
      </c>
      <c r="P4" s="11">
        <f>SUM(D4:G4)</f>
        <v>203528000</v>
      </c>
      <c r="Q4" s="12"/>
    </row>
    <row r="5" spans="1:17">
      <c r="A5" s="3">
        <v>400000</v>
      </c>
      <c r="B5" t="s">
        <v>29</v>
      </c>
      <c r="C5" s="11">
        <f>+C4</f>
        <v>45217000</v>
      </c>
      <c r="D5" s="11">
        <f>+D4</f>
        <v>47483000.000000007</v>
      </c>
      <c r="E5" s="11">
        <f>+E4</f>
        <v>48719000</v>
      </c>
      <c r="F5" s="11">
        <f>+F4</f>
        <v>51603000</v>
      </c>
      <c r="G5" s="11">
        <f>+G4</f>
        <v>55723000.000000007</v>
      </c>
      <c r="H5" s="11">
        <f t="shared" ref="H5:N5" si="0">+H4</f>
        <v>56341000</v>
      </c>
      <c r="I5" s="11">
        <f t="shared" si="0"/>
        <v>60976000.000000007</v>
      </c>
      <c r="J5" s="11">
        <f t="shared" si="0"/>
        <v>62109000</v>
      </c>
      <c r="K5" s="11">
        <f t="shared" si="0"/>
        <v>68289000</v>
      </c>
      <c r="L5" s="11">
        <f t="shared" si="0"/>
        <v>73542000</v>
      </c>
      <c r="M5" s="11">
        <f t="shared" si="0"/>
        <v>76323000</v>
      </c>
      <c r="N5" s="11">
        <f t="shared" si="0"/>
        <v>77147000</v>
      </c>
      <c r="O5" s="11">
        <f>SUM(C5:N5)</f>
        <v>723472000</v>
      </c>
      <c r="Q5" s="13">
        <f t="shared" ref="Q5" si="1">+O5/$O$5</f>
        <v>1</v>
      </c>
    </row>
    <row r="6" spans="1:17">
      <c r="A6" s="3">
        <v>410000</v>
      </c>
      <c r="B6" t="s">
        <v>30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4"/>
    </row>
    <row r="7" spans="1:17" ht="18">
      <c r="A7" s="15">
        <v>410100</v>
      </c>
      <c r="B7" s="16" t="s">
        <v>31</v>
      </c>
      <c r="C7" s="17">
        <v>0.5716</v>
      </c>
      <c r="D7" s="17">
        <v>0.5716</v>
      </c>
      <c r="E7" s="17">
        <v>0.5716</v>
      </c>
      <c r="F7" s="17">
        <v>0.5716</v>
      </c>
      <c r="G7" s="17">
        <v>0.5716</v>
      </c>
      <c r="H7" s="17">
        <v>0.5716</v>
      </c>
      <c r="I7" s="17">
        <v>0.5716</v>
      </c>
      <c r="J7" s="17">
        <v>0.5716</v>
      </c>
      <c r="K7" s="17">
        <v>0.5716</v>
      </c>
      <c r="L7" s="17">
        <v>0.5716</v>
      </c>
      <c r="M7" s="17">
        <v>0.5716</v>
      </c>
      <c r="N7" s="17">
        <v>0.5716</v>
      </c>
      <c r="O7" s="17">
        <v>0.5716</v>
      </c>
    </row>
    <row r="8" spans="1:17">
      <c r="A8" s="18">
        <v>410100</v>
      </c>
      <c r="B8" s="19" t="s">
        <v>32</v>
      </c>
      <c r="C8" s="20">
        <f>+C5*(100%-C7)</f>
        <v>19370962.800000001</v>
      </c>
      <c r="D8" s="20">
        <f>+D5*(100%-D7)</f>
        <v>20341717.200000003</v>
      </c>
      <c r="E8" s="20">
        <f>+E5*(100%-E7)</f>
        <v>20871219.600000001</v>
      </c>
      <c r="F8" s="20">
        <f>+F5*(100%-F7)</f>
        <v>22106725.199999999</v>
      </c>
      <c r="G8" s="20">
        <f>+G5*(100%-G7)</f>
        <v>23871733.200000003</v>
      </c>
      <c r="H8" s="20">
        <f t="shared" ref="H8:N8" si="2">+H5*(100%-H7)</f>
        <v>24136484.399999999</v>
      </c>
      <c r="I8" s="20">
        <f t="shared" si="2"/>
        <v>26122118.400000002</v>
      </c>
      <c r="J8" s="20">
        <f t="shared" si="2"/>
        <v>26607495.600000001</v>
      </c>
      <c r="K8" s="20">
        <f t="shared" si="2"/>
        <v>29255007.600000001</v>
      </c>
      <c r="L8" s="20">
        <f t="shared" si="2"/>
        <v>31505392.800000001</v>
      </c>
      <c r="M8" s="20">
        <f t="shared" si="2"/>
        <v>32696773.199999999</v>
      </c>
      <c r="N8" s="20">
        <f t="shared" si="2"/>
        <v>33049774.800000001</v>
      </c>
      <c r="O8" s="20">
        <f>SUM(C8:G8)</f>
        <v>106562358</v>
      </c>
      <c r="P8" s="21">
        <v>1</v>
      </c>
      <c r="Q8" s="13">
        <f>+O8/$O$5</f>
        <v>0.14729299544419133</v>
      </c>
    </row>
    <row r="9" spans="1:17">
      <c r="A9" s="3">
        <v>410000</v>
      </c>
      <c r="B9" s="22" t="s">
        <v>30</v>
      </c>
      <c r="C9" s="11">
        <f t="shared" ref="C9:N9" si="3">+C8</f>
        <v>19370962.800000001</v>
      </c>
      <c r="D9" s="11">
        <f t="shared" si="3"/>
        <v>20341717.200000003</v>
      </c>
      <c r="E9" s="11">
        <f t="shared" si="3"/>
        <v>20871219.600000001</v>
      </c>
      <c r="F9" s="11">
        <f t="shared" si="3"/>
        <v>22106725.199999999</v>
      </c>
      <c r="G9" s="11">
        <f t="shared" si="3"/>
        <v>23871733.200000003</v>
      </c>
      <c r="H9" s="11">
        <f t="shared" si="3"/>
        <v>24136484.399999999</v>
      </c>
      <c r="I9" s="11">
        <f t="shared" si="3"/>
        <v>26122118.400000002</v>
      </c>
      <c r="J9" s="11">
        <f t="shared" si="3"/>
        <v>26607495.600000001</v>
      </c>
      <c r="K9" s="11">
        <f t="shared" si="3"/>
        <v>29255007.600000001</v>
      </c>
      <c r="L9" s="11">
        <f t="shared" si="3"/>
        <v>31505392.800000001</v>
      </c>
      <c r="M9" s="11">
        <f t="shared" si="3"/>
        <v>32696773.199999999</v>
      </c>
      <c r="N9" s="11">
        <f t="shared" si="3"/>
        <v>33049774.800000001</v>
      </c>
      <c r="O9" s="11">
        <f>SUM(C9:N9)</f>
        <v>309935404.80000001</v>
      </c>
    </row>
    <row r="10" spans="1:17">
      <c r="A10" s="3">
        <v>420000</v>
      </c>
      <c r="B10" s="22" t="s">
        <v>33</v>
      </c>
      <c r="C10" s="11"/>
      <c r="D10" s="2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7">
      <c r="A11" s="3">
        <v>420100</v>
      </c>
      <c r="B11" s="22" t="s">
        <v>34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7">
      <c r="A12" s="3">
        <v>420101</v>
      </c>
      <c r="B12" s="24" t="s">
        <v>35</v>
      </c>
      <c r="C12" s="11">
        <f>+'[1]REMUNERACIONES '!C22</f>
        <v>18989354</v>
      </c>
      <c r="D12" s="11">
        <f>+'[1]REMUNERACIONES '!C23</f>
        <v>18989354</v>
      </c>
      <c r="E12" s="11">
        <f>+'[1]REMUNERACIONES '!C24</f>
        <v>18749354</v>
      </c>
      <c r="F12" s="11">
        <f>+'[1]REMUNERACIONES '!C25</f>
        <v>18869354</v>
      </c>
      <c r="G12" s="11">
        <f>+'[1]REMUNERACIONES '!C26</f>
        <v>19109354</v>
      </c>
      <c r="H12" s="11">
        <f>+'[1]REMUNERACIONES '!C27</f>
        <v>19469354</v>
      </c>
      <c r="I12" s="11">
        <f t="shared" ref="I12:N13" si="4">+H12</f>
        <v>19469354</v>
      </c>
      <c r="J12" s="11">
        <f t="shared" si="4"/>
        <v>19469354</v>
      </c>
      <c r="K12" s="11">
        <f t="shared" si="4"/>
        <v>19469354</v>
      </c>
      <c r="L12" s="11">
        <f t="shared" si="4"/>
        <v>19469354</v>
      </c>
      <c r="M12" s="11">
        <f t="shared" si="4"/>
        <v>19469354</v>
      </c>
      <c r="N12" s="11">
        <f t="shared" si="4"/>
        <v>19469354</v>
      </c>
      <c r="O12" s="11">
        <f>SUM(C12:N12)</f>
        <v>230992248</v>
      </c>
      <c r="P12" s="23"/>
      <c r="Q12" s="25">
        <f t="shared" ref="Q12:Q18" si="5">+O12/$O$5</f>
        <v>0.31928291350598226</v>
      </c>
    </row>
    <row r="13" spans="1:17">
      <c r="A13" s="3">
        <v>420102</v>
      </c>
      <c r="B13" s="26" t="s">
        <v>36</v>
      </c>
      <c r="C13" s="11">
        <v>1500000</v>
      </c>
      <c r="D13" s="11">
        <f>+C13</f>
        <v>1500000</v>
      </c>
      <c r="E13" s="11">
        <f t="shared" ref="E13:H13" si="6">+D13</f>
        <v>1500000</v>
      </c>
      <c r="F13" s="11">
        <f t="shared" si="6"/>
        <v>1500000</v>
      </c>
      <c r="G13" s="11">
        <f t="shared" si="6"/>
        <v>1500000</v>
      </c>
      <c r="H13" s="11">
        <f t="shared" si="6"/>
        <v>1500000</v>
      </c>
      <c r="I13" s="11">
        <f t="shared" si="4"/>
        <v>1500000</v>
      </c>
      <c r="J13" s="11">
        <f t="shared" si="4"/>
        <v>1500000</v>
      </c>
      <c r="K13" s="11">
        <f t="shared" si="4"/>
        <v>1500000</v>
      </c>
      <c r="L13" s="11">
        <f t="shared" si="4"/>
        <v>1500000</v>
      </c>
      <c r="M13" s="11">
        <f t="shared" si="4"/>
        <v>1500000</v>
      </c>
      <c r="N13" s="11">
        <f t="shared" si="4"/>
        <v>1500000</v>
      </c>
      <c r="O13" s="11">
        <f>SUM(C13:N13)</f>
        <v>18000000</v>
      </c>
      <c r="P13" s="23"/>
      <c r="Q13" s="25">
        <f t="shared" si="5"/>
        <v>2.488002300019904E-2</v>
      </c>
    </row>
    <row r="14" spans="1:17">
      <c r="A14" s="3">
        <v>420107</v>
      </c>
      <c r="B14" s="22" t="s">
        <v>37</v>
      </c>
      <c r="C14" s="11"/>
      <c r="D14" s="11"/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f>SUM(C14:N14)</f>
        <v>0</v>
      </c>
      <c r="P14" s="23"/>
      <c r="Q14" s="25">
        <f t="shared" si="5"/>
        <v>0</v>
      </c>
    </row>
    <row r="15" spans="1:17" s="29" customFormat="1">
      <c r="A15" s="27">
        <v>420100</v>
      </c>
      <c r="B15" s="27" t="s">
        <v>34</v>
      </c>
      <c r="C15" s="28">
        <f>SUM(C12:C14)</f>
        <v>20489354</v>
      </c>
      <c r="D15" s="28">
        <f>SUM(D12:D14)</f>
        <v>20489354</v>
      </c>
      <c r="E15" s="28">
        <f>SUM(E12:E14)</f>
        <v>20249354</v>
      </c>
      <c r="F15" s="28">
        <f>SUM(F12:F14)</f>
        <v>20369354</v>
      </c>
      <c r="G15" s="28">
        <f>SUM(G12:G14)</f>
        <v>20609354</v>
      </c>
      <c r="H15" s="28">
        <f t="shared" ref="H15:N15" si="7">SUM(H12:H14)</f>
        <v>20969354</v>
      </c>
      <c r="I15" s="28">
        <f t="shared" si="7"/>
        <v>20969354</v>
      </c>
      <c r="J15" s="28">
        <f t="shared" si="7"/>
        <v>20969354</v>
      </c>
      <c r="K15" s="28">
        <f t="shared" si="7"/>
        <v>20969354</v>
      </c>
      <c r="L15" s="28">
        <f t="shared" si="7"/>
        <v>20969354</v>
      </c>
      <c r="M15" s="28">
        <f t="shared" si="7"/>
        <v>20969354</v>
      </c>
      <c r="N15" s="28">
        <f t="shared" si="7"/>
        <v>20969354</v>
      </c>
      <c r="O15" s="28">
        <f>SUM(C15:G15)</f>
        <v>102206770</v>
      </c>
      <c r="P15" s="11">
        <v>303522529</v>
      </c>
      <c r="Q15" s="13">
        <f t="shared" si="5"/>
        <v>0.14127259935422518</v>
      </c>
    </row>
    <row r="16" spans="1:17">
      <c r="A16" s="3">
        <v>420200</v>
      </c>
      <c r="B16" t="s">
        <v>38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>
        <f>SUM(C16:N16)</f>
        <v>0</v>
      </c>
    </row>
    <row r="17" spans="1:17">
      <c r="A17" s="3">
        <v>420201</v>
      </c>
      <c r="B17" s="30" t="s">
        <v>39</v>
      </c>
      <c r="C17" s="31">
        <v>1100000</v>
      </c>
      <c r="D17" s="31">
        <v>1100000</v>
      </c>
      <c r="E17" s="31">
        <v>1100000</v>
      </c>
      <c r="F17" s="31">
        <v>1100000</v>
      </c>
      <c r="G17" s="31">
        <v>1100000</v>
      </c>
      <c r="H17" s="31">
        <v>1100000</v>
      </c>
      <c r="I17" s="31">
        <v>1100000</v>
      </c>
      <c r="J17" s="31">
        <v>1100000</v>
      </c>
      <c r="K17" s="31">
        <v>1100000</v>
      </c>
      <c r="L17" s="31">
        <v>1100000</v>
      </c>
      <c r="M17" s="31">
        <v>1100000</v>
      </c>
      <c r="N17" s="31">
        <v>1100000</v>
      </c>
      <c r="O17" s="11">
        <f>SUM(C17:N17)</f>
        <v>13200000</v>
      </c>
      <c r="Q17" s="25"/>
    </row>
    <row r="18" spans="1:17">
      <c r="A18" s="32">
        <v>420200</v>
      </c>
      <c r="B18" s="33" t="s">
        <v>38</v>
      </c>
      <c r="C18" s="34">
        <f t="shared" ref="C18:N18" si="8">+C17</f>
        <v>1100000</v>
      </c>
      <c r="D18" s="34">
        <f t="shared" si="8"/>
        <v>1100000</v>
      </c>
      <c r="E18" s="34">
        <f t="shared" si="8"/>
        <v>1100000</v>
      </c>
      <c r="F18" s="34">
        <f t="shared" si="8"/>
        <v>1100000</v>
      </c>
      <c r="G18" s="34">
        <f t="shared" si="8"/>
        <v>1100000</v>
      </c>
      <c r="H18" s="34">
        <f t="shared" si="8"/>
        <v>1100000</v>
      </c>
      <c r="I18" s="34">
        <f t="shared" si="8"/>
        <v>1100000</v>
      </c>
      <c r="J18" s="34">
        <f t="shared" si="8"/>
        <v>1100000</v>
      </c>
      <c r="K18" s="34">
        <f t="shared" si="8"/>
        <v>1100000</v>
      </c>
      <c r="L18" s="34">
        <f t="shared" si="8"/>
        <v>1100000</v>
      </c>
      <c r="M18" s="34">
        <f t="shared" si="8"/>
        <v>1100000</v>
      </c>
      <c r="N18" s="34">
        <f t="shared" si="8"/>
        <v>1100000</v>
      </c>
      <c r="O18" s="34">
        <f>SUM(C18:G18)</f>
        <v>5500000</v>
      </c>
      <c r="Q18" s="13">
        <f t="shared" si="5"/>
        <v>7.6022292500608178E-3</v>
      </c>
    </row>
    <row r="19" spans="1:17">
      <c r="A19" s="3">
        <v>420300</v>
      </c>
      <c r="B19" t="s">
        <v>40</v>
      </c>
      <c r="C19" s="31"/>
      <c r="D19" s="31"/>
      <c r="E19" s="31"/>
      <c r="F19" s="31"/>
      <c r="G19" s="11"/>
      <c r="H19" s="11"/>
      <c r="I19" s="11"/>
      <c r="J19" s="11"/>
      <c r="K19" s="11"/>
      <c r="L19" s="11"/>
      <c r="M19" s="11"/>
      <c r="N19" s="11"/>
      <c r="O19" s="11">
        <f>SUM(C19:N19)</f>
        <v>0</v>
      </c>
    </row>
    <row r="20" spans="1:17">
      <c r="A20" s="3">
        <v>420301</v>
      </c>
      <c r="B20" t="s">
        <v>41</v>
      </c>
      <c r="C20" s="31">
        <v>0</v>
      </c>
      <c r="D20" s="31">
        <v>0</v>
      </c>
      <c r="E20" s="31">
        <v>0</v>
      </c>
      <c r="F20" s="3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f>SUM(C20:N20)</f>
        <v>0</v>
      </c>
    </row>
    <row r="21" spans="1:17">
      <c r="A21" s="32">
        <v>420300</v>
      </c>
      <c r="B21" s="33" t="s">
        <v>40</v>
      </c>
      <c r="C21" s="34">
        <f t="shared" ref="C21:N21" si="9">+C20</f>
        <v>0</v>
      </c>
      <c r="D21" s="34">
        <f t="shared" si="9"/>
        <v>0</v>
      </c>
      <c r="E21" s="34">
        <f t="shared" si="9"/>
        <v>0</v>
      </c>
      <c r="F21" s="34">
        <f t="shared" si="9"/>
        <v>0</v>
      </c>
      <c r="G21" s="34">
        <f t="shared" si="9"/>
        <v>0</v>
      </c>
      <c r="H21" s="34">
        <f t="shared" si="9"/>
        <v>0</v>
      </c>
      <c r="I21" s="34">
        <f t="shared" si="9"/>
        <v>0</v>
      </c>
      <c r="J21" s="34">
        <f t="shared" si="9"/>
        <v>0</v>
      </c>
      <c r="K21" s="34">
        <f t="shared" si="9"/>
        <v>0</v>
      </c>
      <c r="L21" s="34">
        <f t="shared" si="9"/>
        <v>0</v>
      </c>
      <c r="M21" s="34">
        <f t="shared" si="9"/>
        <v>0</v>
      </c>
      <c r="N21" s="34">
        <f t="shared" si="9"/>
        <v>0</v>
      </c>
      <c r="O21" s="34">
        <f>SUM(C21:G21)</f>
        <v>0</v>
      </c>
    </row>
    <row r="22" spans="1:17">
      <c r="A22" s="3">
        <v>420400</v>
      </c>
      <c r="B22" t="s">
        <v>42</v>
      </c>
      <c r="C22" s="31"/>
      <c r="D22" s="31"/>
      <c r="E22" s="31"/>
      <c r="F22" s="31"/>
      <c r="G22" s="11"/>
      <c r="H22" s="11"/>
      <c r="I22" s="11"/>
      <c r="J22" s="11"/>
      <c r="K22" s="11"/>
      <c r="L22" s="11"/>
      <c r="M22" s="11"/>
      <c r="N22" s="11"/>
      <c r="O22" s="11">
        <f>SUM(C22:N22)</f>
        <v>0</v>
      </c>
    </row>
    <row r="23" spans="1:17">
      <c r="A23" s="35">
        <v>420402</v>
      </c>
      <c r="B23" s="36" t="s">
        <v>43</v>
      </c>
      <c r="C23" s="31">
        <v>82000</v>
      </c>
      <c r="D23" s="31">
        <v>82000</v>
      </c>
      <c r="E23" s="31">
        <v>82000</v>
      </c>
      <c r="F23" s="31">
        <v>82000</v>
      </c>
      <c r="G23" s="31">
        <v>82000</v>
      </c>
      <c r="H23" s="31">
        <v>82000</v>
      </c>
      <c r="I23" s="31">
        <v>82000</v>
      </c>
      <c r="J23" s="31">
        <v>82000</v>
      </c>
      <c r="K23" s="31">
        <v>82000</v>
      </c>
      <c r="L23" s="31">
        <v>82000</v>
      </c>
      <c r="M23" s="31">
        <v>82000</v>
      </c>
      <c r="N23" s="31">
        <v>82000</v>
      </c>
      <c r="O23" s="11">
        <f>SUM(C23:N23)</f>
        <v>984000</v>
      </c>
    </row>
    <row r="24" spans="1:17">
      <c r="A24" s="3">
        <v>420403</v>
      </c>
      <c r="B24" s="37" t="s">
        <v>44</v>
      </c>
      <c r="C24" s="31">
        <v>64000</v>
      </c>
      <c r="D24" s="31">
        <v>64000</v>
      </c>
      <c r="E24" s="31">
        <v>64000</v>
      </c>
      <c r="F24" s="31">
        <v>64000</v>
      </c>
      <c r="G24" s="31">
        <v>64000</v>
      </c>
      <c r="H24" s="31">
        <v>64000</v>
      </c>
      <c r="I24" s="31">
        <v>64000</v>
      </c>
      <c r="J24" s="31">
        <v>64000</v>
      </c>
      <c r="K24" s="31">
        <v>64000</v>
      </c>
      <c r="L24" s="31">
        <v>64000</v>
      </c>
      <c r="M24" s="31">
        <v>64000</v>
      </c>
      <c r="N24" s="31">
        <v>64000</v>
      </c>
      <c r="O24" s="11">
        <f>SUM(C24:N24)</f>
        <v>768000</v>
      </c>
    </row>
    <row r="25" spans="1:17">
      <c r="A25" s="3">
        <v>420404</v>
      </c>
      <c r="B25" s="37" t="s">
        <v>45</v>
      </c>
      <c r="C25" s="31">
        <v>98000</v>
      </c>
      <c r="D25" s="31">
        <v>98000</v>
      </c>
      <c r="E25" s="31">
        <v>98000</v>
      </c>
      <c r="F25" s="31">
        <v>98000</v>
      </c>
      <c r="G25" s="31">
        <v>98000</v>
      </c>
      <c r="H25" s="31">
        <v>98000</v>
      </c>
      <c r="I25" s="31">
        <v>98000</v>
      </c>
      <c r="J25" s="31">
        <v>98000</v>
      </c>
      <c r="K25" s="31">
        <v>98000</v>
      </c>
      <c r="L25" s="31">
        <v>98000</v>
      </c>
      <c r="M25" s="31">
        <v>98000</v>
      </c>
      <c r="N25" s="31">
        <v>98000</v>
      </c>
      <c r="O25" s="11">
        <f>SUM(C25:N25)</f>
        <v>1176000</v>
      </c>
    </row>
    <row r="26" spans="1:17">
      <c r="A26" s="32">
        <v>420400</v>
      </c>
      <c r="B26" s="33" t="s">
        <v>42</v>
      </c>
      <c r="C26" s="34">
        <f t="shared" ref="C26:N26" si="10">SUM(C23:C25)</f>
        <v>244000</v>
      </c>
      <c r="D26" s="34">
        <f t="shared" si="10"/>
        <v>244000</v>
      </c>
      <c r="E26" s="34">
        <f t="shared" si="10"/>
        <v>244000</v>
      </c>
      <c r="F26" s="34">
        <f t="shared" si="10"/>
        <v>244000</v>
      </c>
      <c r="G26" s="34">
        <f t="shared" si="10"/>
        <v>244000</v>
      </c>
      <c r="H26" s="34">
        <f t="shared" si="10"/>
        <v>244000</v>
      </c>
      <c r="I26" s="34">
        <f t="shared" si="10"/>
        <v>244000</v>
      </c>
      <c r="J26" s="34">
        <f t="shared" si="10"/>
        <v>244000</v>
      </c>
      <c r="K26" s="34">
        <f t="shared" si="10"/>
        <v>244000</v>
      </c>
      <c r="L26" s="34">
        <f t="shared" si="10"/>
        <v>244000</v>
      </c>
      <c r="M26" s="34">
        <f t="shared" si="10"/>
        <v>244000</v>
      </c>
      <c r="N26" s="34">
        <f t="shared" si="10"/>
        <v>244000</v>
      </c>
      <c r="O26" s="34">
        <f>SUM(C26:G26)</f>
        <v>1220000</v>
      </c>
      <c r="Q26" s="13">
        <f t="shared" ref="Q26" si="11">+O26/$O$5</f>
        <v>1.6863126700134906E-3</v>
      </c>
    </row>
    <row r="27" spans="1:17">
      <c r="A27" s="3">
        <v>420500</v>
      </c>
      <c r="B27" t="s">
        <v>46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11">
        <f>SUM(C27:N27)</f>
        <v>0</v>
      </c>
    </row>
    <row r="28" spans="1:17">
      <c r="A28" s="3">
        <v>420505</v>
      </c>
      <c r="B28" s="37" t="s">
        <v>47</v>
      </c>
      <c r="C28" s="31">
        <v>196000</v>
      </c>
      <c r="D28" s="31">
        <v>196000</v>
      </c>
      <c r="E28" s="31">
        <v>196000</v>
      </c>
      <c r="F28" s="31">
        <v>196000</v>
      </c>
      <c r="G28" s="31">
        <v>196000</v>
      </c>
      <c r="H28" s="31">
        <v>196000</v>
      </c>
      <c r="I28" s="31">
        <v>196000</v>
      </c>
      <c r="J28" s="31">
        <v>196000</v>
      </c>
      <c r="K28" s="31">
        <v>196000</v>
      </c>
      <c r="L28" s="31">
        <v>196000</v>
      </c>
      <c r="M28" s="31">
        <v>196000</v>
      </c>
      <c r="N28" s="31">
        <v>196000</v>
      </c>
      <c r="O28" s="11">
        <f>SUM(C28:N28)</f>
        <v>2352000</v>
      </c>
    </row>
    <row r="29" spans="1:17">
      <c r="A29" s="3">
        <v>420506</v>
      </c>
      <c r="B29" t="s">
        <v>48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11">
        <f>SUM(C29:N29)</f>
        <v>0</v>
      </c>
    </row>
    <row r="30" spans="1:17">
      <c r="A30" s="3">
        <v>420507</v>
      </c>
      <c r="B30" s="38" t="s">
        <v>49</v>
      </c>
      <c r="C30" s="31">
        <v>613445</v>
      </c>
      <c r="D30" s="31">
        <v>613445</v>
      </c>
      <c r="E30" s="31">
        <v>613445</v>
      </c>
      <c r="F30" s="31">
        <v>613445</v>
      </c>
      <c r="G30" s="31">
        <v>613445</v>
      </c>
      <c r="H30" s="31">
        <v>613445</v>
      </c>
      <c r="I30" s="31">
        <v>613445</v>
      </c>
      <c r="J30" s="31">
        <v>613445</v>
      </c>
      <c r="K30" s="31">
        <v>613445</v>
      </c>
      <c r="L30" s="31">
        <v>613445</v>
      </c>
      <c r="M30" s="31">
        <v>613445</v>
      </c>
      <c r="N30" s="31">
        <v>613445</v>
      </c>
      <c r="O30" s="11">
        <f>SUM(C30:N30)</f>
        <v>7361340</v>
      </c>
      <c r="Q30" s="39"/>
    </row>
    <row r="31" spans="1:17">
      <c r="A31" s="3">
        <v>420508</v>
      </c>
      <c r="B31" t="s">
        <v>50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11">
        <f>SUM(C31:N31)</f>
        <v>0</v>
      </c>
    </row>
    <row r="32" spans="1:17">
      <c r="A32" s="32">
        <v>420500</v>
      </c>
      <c r="B32" s="33" t="s">
        <v>46</v>
      </c>
      <c r="C32" s="34">
        <f t="shared" ref="C32:N32" si="12">SUM(C28:C31)</f>
        <v>809445</v>
      </c>
      <c r="D32" s="34">
        <f t="shared" si="12"/>
        <v>809445</v>
      </c>
      <c r="E32" s="34">
        <f t="shared" si="12"/>
        <v>809445</v>
      </c>
      <c r="F32" s="34">
        <f t="shared" si="12"/>
        <v>809445</v>
      </c>
      <c r="G32" s="34">
        <f t="shared" si="12"/>
        <v>809445</v>
      </c>
      <c r="H32" s="34">
        <f t="shared" si="12"/>
        <v>809445</v>
      </c>
      <c r="I32" s="34">
        <f t="shared" si="12"/>
        <v>809445</v>
      </c>
      <c r="J32" s="34">
        <f t="shared" si="12"/>
        <v>809445</v>
      </c>
      <c r="K32" s="34">
        <f t="shared" si="12"/>
        <v>809445</v>
      </c>
      <c r="L32" s="34">
        <f t="shared" si="12"/>
        <v>809445</v>
      </c>
      <c r="M32" s="34">
        <f t="shared" si="12"/>
        <v>809445</v>
      </c>
      <c r="N32" s="34">
        <f t="shared" si="12"/>
        <v>809445</v>
      </c>
      <c r="O32" s="34">
        <f>SUM(C32:G32)</f>
        <v>4047225</v>
      </c>
      <c r="Q32" s="13">
        <f t="shared" ref="Q32" si="13">+O32/$O$5</f>
        <v>5.5941695048322537E-3</v>
      </c>
    </row>
    <row r="33" spans="1:17">
      <c r="A33" s="3">
        <v>420600</v>
      </c>
      <c r="B33" s="22" t="s">
        <v>51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11">
        <f t="shared" ref="O33:O41" si="14">SUM(C33:N33)</f>
        <v>0</v>
      </c>
    </row>
    <row r="34" spans="1:17">
      <c r="A34" s="3">
        <v>420604</v>
      </c>
      <c r="B34" s="26" t="s">
        <v>52</v>
      </c>
      <c r="C34" s="31">
        <v>47000</v>
      </c>
      <c r="D34" s="31">
        <v>47000</v>
      </c>
      <c r="E34" s="31">
        <v>47000</v>
      </c>
      <c r="F34" s="31">
        <v>47000</v>
      </c>
      <c r="G34" s="31">
        <v>47000</v>
      </c>
      <c r="H34" s="31">
        <v>47000</v>
      </c>
      <c r="I34" s="31">
        <v>47000</v>
      </c>
      <c r="J34" s="31">
        <v>47000</v>
      </c>
      <c r="K34" s="31">
        <v>47000</v>
      </c>
      <c r="L34" s="31">
        <v>47000</v>
      </c>
      <c r="M34" s="31">
        <v>47000</v>
      </c>
      <c r="N34" s="31">
        <v>47000</v>
      </c>
      <c r="O34" s="11">
        <f t="shared" si="14"/>
        <v>564000</v>
      </c>
    </row>
    <row r="35" spans="1:17">
      <c r="A35" s="3">
        <v>420605</v>
      </c>
      <c r="B35" s="22" t="s">
        <v>53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11">
        <f t="shared" si="14"/>
        <v>0</v>
      </c>
    </row>
    <row r="36" spans="1:17">
      <c r="A36" s="3">
        <v>420609</v>
      </c>
      <c r="B36" s="26" t="s">
        <v>54</v>
      </c>
      <c r="C36" s="31">
        <v>1000000</v>
      </c>
      <c r="D36" s="31">
        <v>1000000</v>
      </c>
      <c r="E36" s="31">
        <v>1000000</v>
      </c>
      <c r="F36" s="31">
        <v>1000000</v>
      </c>
      <c r="G36" s="31">
        <v>1000000</v>
      </c>
      <c r="H36" s="31">
        <v>1000000</v>
      </c>
      <c r="I36" s="31">
        <v>1000000</v>
      </c>
      <c r="J36" s="31">
        <v>1000000</v>
      </c>
      <c r="K36" s="31">
        <v>1000000</v>
      </c>
      <c r="L36" s="31">
        <v>1000000</v>
      </c>
      <c r="M36" s="31">
        <v>1000000</v>
      </c>
      <c r="N36" s="31">
        <v>1000000</v>
      </c>
      <c r="O36" s="11">
        <f t="shared" si="14"/>
        <v>12000000</v>
      </c>
    </row>
    <row r="37" spans="1:17">
      <c r="A37" s="3">
        <v>420611</v>
      </c>
      <c r="B37" s="26" t="s">
        <v>55</v>
      </c>
      <c r="C37" s="31">
        <f>+[1]TABLA_CREDITO!D4+[1]TABLA_CREDITO!F4</f>
        <v>309604</v>
      </c>
      <c r="D37" s="31">
        <f>+[1]TABLA_CREDITO!D5+[1]TABLA_CREDITO!F5</f>
        <v>307116</v>
      </c>
      <c r="E37" s="31">
        <f>+[1]TABLA_CREDITO!D6+[1]TABLA_CREDITO!F6</f>
        <v>313521</v>
      </c>
      <c r="F37" s="31">
        <f>+[1]TABLA_CREDITO!D7+[1]TABLA_CREDITO!F7</f>
        <v>280802</v>
      </c>
      <c r="G37" s="31">
        <f>+[1]TABLA_CREDITO!D8+[1]TABLA_CREDITO!F8</f>
        <v>267339</v>
      </c>
      <c r="H37" s="31">
        <f>+[1]TABLA_CREDITO!D9+[1]TABLA_CREDITO!F9</f>
        <v>262193</v>
      </c>
      <c r="I37" s="31">
        <f>+[1]TABLA_CREDITO!D10+[1]TABLA_CREDITO!F10</f>
        <v>240078</v>
      </c>
      <c r="J37" s="31">
        <f>+[1]TABLA_CREDITO!D11+[1]TABLA_CREDITO!F11</f>
        <v>248810</v>
      </c>
      <c r="K37" s="31">
        <f>+[1]TABLA_CREDITO!D12+[1]TABLA_CREDITO!F12</f>
        <v>205314</v>
      </c>
      <c r="L37" s="31">
        <f>+[1]TABLA_CREDITO!D13+[1]TABLA_CREDITO!F13</f>
        <v>184936</v>
      </c>
      <c r="M37" s="31">
        <f>+[1]TABLA_CREDITO!D14+[1]TABLA_CREDITO!F14</f>
        <v>189807</v>
      </c>
      <c r="N37" s="31">
        <f>+[1]TABLA_CREDITO!D15+[1]TABLA_CREDITO!F15</f>
        <v>174917</v>
      </c>
      <c r="O37" s="11">
        <f t="shared" si="14"/>
        <v>2984437</v>
      </c>
    </row>
    <row r="38" spans="1:17">
      <c r="A38" s="3">
        <v>420613</v>
      </c>
      <c r="B38" s="22" t="s">
        <v>56</v>
      </c>
      <c r="C38" s="31">
        <v>0</v>
      </c>
      <c r="D38" s="31">
        <v>0</v>
      </c>
      <c r="E38" s="31">
        <v>35000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11">
        <f t="shared" si="14"/>
        <v>35000</v>
      </c>
    </row>
    <row r="39" spans="1:17">
      <c r="A39" s="3">
        <v>420615</v>
      </c>
      <c r="B39" s="26" t="s">
        <v>57</v>
      </c>
      <c r="C39" s="31">
        <v>50000</v>
      </c>
      <c r="D39" s="31">
        <v>50000</v>
      </c>
      <c r="E39" s="31">
        <v>50000</v>
      </c>
      <c r="F39" s="31">
        <v>50000</v>
      </c>
      <c r="G39" s="31">
        <v>50000</v>
      </c>
      <c r="H39" s="31">
        <v>50000</v>
      </c>
      <c r="I39" s="31">
        <v>50000</v>
      </c>
      <c r="J39" s="31">
        <v>50000</v>
      </c>
      <c r="K39" s="31">
        <v>50000</v>
      </c>
      <c r="L39" s="31">
        <v>50000</v>
      </c>
      <c r="M39" s="31">
        <v>50000</v>
      </c>
      <c r="N39" s="31">
        <v>50000</v>
      </c>
      <c r="O39" s="11">
        <f t="shared" si="14"/>
        <v>600000</v>
      </c>
    </row>
    <row r="40" spans="1:17">
      <c r="A40" s="3">
        <v>420616</v>
      </c>
      <c r="B40" s="26" t="s">
        <v>58</v>
      </c>
      <c r="C40" s="31">
        <v>23087</v>
      </c>
      <c r="D40" s="31">
        <v>12076</v>
      </c>
      <c r="E40" s="31">
        <v>12076</v>
      </c>
      <c r="F40" s="31">
        <v>12076</v>
      </c>
      <c r="G40" s="31">
        <v>12076</v>
      </c>
      <c r="H40" s="31">
        <v>12076</v>
      </c>
      <c r="I40" s="31">
        <v>12076</v>
      </c>
      <c r="J40" s="31">
        <v>12076</v>
      </c>
      <c r="K40" s="31">
        <v>12076</v>
      </c>
      <c r="L40" s="31">
        <v>12076</v>
      </c>
      <c r="M40" s="31">
        <v>12076</v>
      </c>
      <c r="N40" s="31">
        <v>12076</v>
      </c>
      <c r="O40" s="11">
        <f t="shared" si="14"/>
        <v>155923</v>
      </c>
    </row>
    <row r="41" spans="1:17">
      <c r="A41" s="3">
        <v>420617</v>
      </c>
      <c r="B41" s="26" t="s">
        <v>59</v>
      </c>
      <c r="C41" s="31">
        <v>200000</v>
      </c>
      <c r="D41" s="31">
        <v>200000</v>
      </c>
      <c r="E41" s="31">
        <v>200000</v>
      </c>
      <c r="F41" s="31">
        <v>200000</v>
      </c>
      <c r="G41" s="31">
        <v>200000</v>
      </c>
      <c r="H41" s="31">
        <v>200000</v>
      </c>
      <c r="I41" s="31">
        <v>200000</v>
      </c>
      <c r="J41" s="31">
        <v>200000</v>
      </c>
      <c r="K41" s="31">
        <v>200000</v>
      </c>
      <c r="L41" s="31">
        <v>200000</v>
      </c>
      <c r="M41" s="31">
        <v>200000</v>
      </c>
      <c r="N41" s="31">
        <v>200000</v>
      </c>
      <c r="O41" s="11">
        <f t="shared" si="14"/>
        <v>2400000</v>
      </c>
    </row>
    <row r="42" spans="1:17">
      <c r="A42" s="32">
        <v>420600</v>
      </c>
      <c r="B42" s="33" t="s">
        <v>51</v>
      </c>
      <c r="C42" s="34">
        <f t="shared" ref="C42:G42" si="15">SUM(C34:C41)</f>
        <v>1629691</v>
      </c>
      <c r="D42" s="34">
        <f t="shared" si="15"/>
        <v>1616192</v>
      </c>
      <c r="E42" s="34">
        <f t="shared" si="15"/>
        <v>1657597</v>
      </c>
      <c r="F42" s="34">
        <f t="shared" si="15"/>
        <v>1589878</v>
      </c>
      <c r="G42" s="34">
        <f t="shared" si="15"/>
        <v>1576415</v>
      </c>
      <c r="H42" s="34">
        <f t="shared" ref="H42:N42" si="16">SUM(H34:H41)</f>
        <v>1571269</v>
      </c>
      <c r="I42" s="34">
        <f t="shared" si="16"/>
        <v>1549154</v>
      </c>
      <c r="J42" s="34">
        <f t="shared" si="16"/>
        <v>1557886</v>
      </c>
      <c r="K42" s="34">
        <f t="shared" si="16"/>
        <v>1514390</v>
      </c>
      <c r="L42" s="34">
        <f t="shared" si="16"/>
        <v>1494012</v>
      </c>
      <c r="M42" s="34">
        <f t="shared" si="16"/>
        <v>1498883</v>
      </c>
      <c r="N42" s="34">
        <f t="shared" si="16"/>
        <v>1483993</v>
      </c>
      <c r="O42" s="34">
        <f>SUM(C42:G42)</f>
        <v>8069773</v>
      </c>
      <c r="Q42" s="13">
        <f t="shared" ref="Q42" si="17">+O42/$O$5</f>
        <v>1.1154229880354733E-2</v>
      </c>
    </row>
    <row r="43" spans="1:17">
      <c r="A43" s="3">
        <v>420700</v>
      </c>
      <c r="B43" t="s">
        <v>60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11">
        <f t="shared" ref="O43:O59" si="18">SUM(C43:N43)</f>
        <v>0</v>
      </c>
    </row>
    <row r="44" spans="1:17">
      <c r="A44" s="3">
        <v>420701</v>
      </c>
      <c r="B44" s="24" t="s">
        <v>61</v>
      </c>
      <c r="C44" s="31">
        <v>700000</v>
      </c>
      <c r="D44" s="31">
        <v>700000</v>
      </c>
      <c r="E44" s="31">
        <f>+D44*1.033</f>
        <v>723100</v>
      </c>
      <c r="F44" s="31">
        <f>+E44</f>
        <v>723100</v>
      </c>
      <c r="G44" s="31">
        <f t="shared" ref="G44:N44" si="19">+F44</f>
        <v>723100</v>
      </c>
      <c r="H44" s="31">
        <f t="shared" si="19"/>
        <v>723100</v>
      </c>
      <c r="I44" s="31">
        <f t="shared" si="19"/>
        <v>723100</v>
      </c>
      <c r="J44" s="31">
        <f t="shared" si="19"/>
        <v>723100</v>
      </c>
      <c r="K44" s="31">
        <f t="shared" si="19"/>
        <v>723100</v>
      </c>
      <c r="L44" s="31">
        <f t="shared" si="19"/>
        <v>723100</v>
      </c>
      <c r="M44" s="31">
        <f t="shared" si="19"/>
        <v>723100</v>
      </c>
      <c r="N44" s="31">
        <f t="shared" si="19"/>
        <v>723100</v>
      </c>
      <c r="O44" s="11">
        <f t="shared" si="18"/>
        <v>8631000</v>
      </c>
    </row>
    <row r="45" spans="1:17">
      <c r="A45" s="3">
        <v>420702</v>
      </c>
      <c r="B45" s="37" t="s">
        <v>62</v>
      </c>
      <c r="C45" s="31">
        <v>155462</v>
      </c>
      <c r="D45" s="31">
        <v>155462</v>
      </c>
      <c r="E45" s="31">
        <v>155462</v>
      </c>
      <c r="F45" s="31">
        <v>155462</v>
      </c>
      <c r="G45" s="31">
        <v>155462</v>
      </c>
      <c r="H45" s="31">
        <v>155462</v>
      </c>
      <c r="I45" s="31">
        <v>155462</v>
      </c>
      <c r="J45" s="31">
        <v>155462</v>
      </c>
      <c r="K45" s="31">
        <v>155462</v>
      </c>
      <c r="L45" s="31">
        <v>155462</v>
      </c>
      <c r="M45" s="31">
        <v>155462</v>
      </c>
      <c r="N45" s="31">
        <v>155462</v>
      </c>
      <c r="O45" s="11">
        <f t="shared" si="18"/>
        <v>1865544</v>
      </c>
    </row>
    <row r="46" spans="1:17">
      <c r="A46" s="3">
        <v>420703</v>
      </c>
      <c r="B46" t="s">
        <v>63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11">
        <f t="shared" si="18"/>
        <v>0</v>
      </c>
    </row>
    <row r="47" spans="1:17">
      <c r="A47" s="3">
        <v>420704</v>
      </c>
      <c r="B47" s="37" t="s">
        <v>64</v>
      </c>
      <c r="C47" s="31">
        <v>940000</v>
      </c>
      <c r="D47" s="31">
        <v>940000</v>
      </c>
      <c r="E47" s="31">
        <v>940000</v>
      </c>
      <c r="F47" s="31">
        <v>940000</v>
      </c>
      <c r="G47" s="31">
        <v>940000</v>
      </c>
      <c r="H47" s="31">
        <v>940000</v>
      </c>
      <c r="I47" s="31">
        <v>940000</v>
      </c>
      <c r="J47" s="31">
        <v>940000</v>
      </c>
      <c r="K47" s="31">
        <v>940000</v>
      </c>
      <c r="L47" s="31">
        <v>940000</v>
      </c>
      <c r="M47" s="31">
        <v>940000</v>
      </c>
      <c r="N47" s="31">
        <v>940000</v>
      </c>
      <c r="O47" s="11">
        <f t="shared" si="18"/>
        <v>11280000</v>
      </c>
    </row>
    <row r="48" spans="1:17">
      <c r="A48" s="3">
        <v>420707</v>
      </c>
      <c r="B48" s="37" t="s">
        <v>65</v>
      </c>
      <c r="C48" s="31">
        <v>60000</v>
      </c>
      <c r="D48" s="31">
        <v>60000</v>
      </c>
      <c r="E48" s="31">
        <v>60000</v>
      </c>
      <c r="F48" s="31">
        <v>60000</v>
      </c>
      <c r="G48" s="31">
        <v>60000</v>
      </c>
      <c r="H48" s="31">
        <v>60000</v>
      </c>
      <c r="I48" s="31">
        <v>60000</v>
      </c>
      <c r="J48" s="31">
        <v>60000</v>
      </c>
      <c r="K48" s="31">
        <v>60000</v>
      </c>
      <c r="L48" s="31">
        <v>60000</v>
      </c>
      <c r="M48" s="31">
        <v>60000</v>
      </c>
      <c r="N48" s="31">
        <v>60000</v>
      </c>
      <c r="O48" s="11">
        <f t="shared" si="18"/>
        <v>720000</v>
      </c>
    </row>
    <row r="49" spans="1:17">
      <c r="A49" s="3">
        <v>420709</v>
      </c>
      <c r="B49" t="s">
        <v>66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11">
        <f t="shared" si="18"/>
        <v>0</v>
      </c>
    </row>
    <row r="50" spans="1:17">
      <c r="A50" s="3">
        <v>420710</v>
      </c>
      <c r="B50" s="37" t="s">
        <v>67</v>
      </c>
      <c r="C50" s="31">
        <v>200000</v>
      </c>
      <c r="D50" s="31">
        <v>200000</v>
      </c>
      <c r="E50" s="31">
        <v>200000</v>
      </c>
      <c r="F50" s="31">
        <v>200000</v>
      </c>
      <c r="G50" s="31">
        <v>200000</v>
      </c>
      <c r="H50" s="31">
        <v>200000</v>
      </c>
      <c r="I50" s="31">
        <v>200000</v>
      </c>
      <c r="J50" s="31">
        <v>200000</v>
      </c>
      <c r="K50" s="31">
        <v>200000</v>
      </c>
      <c r="L50" s="31">
        <v>200000</v>
      </c>
      <c r="M50" s="31">
        <v>200000</v>
      </c>
      <c r="N50" s="31">
        <v>200000</v>
      </c>
      <c r="O50" s="11">
        <f t="shared" si="18"/>
        <v>2400000</v>
      </c>
    </row>
    <row r="51" spans="1:17">
      <c r="A51" s="3">
        <v>420711</v>
      </c>
      <c r="B51" s="37" t="s">
        <v>68</v>
      </c>
      <c r="C51" s="31">
        <v>250000</v>
      </c>
      <c r="D51" s="31">
        <v>250000</v>
      </c>
      <c r="E51" s="31">
        <v>250000</v>
      </c>
      <c r="F51" s="31">
        <v>250000</v>
      </c>
      <c r="G51" s="31">
        <v>250000</v>
      </c>
      <c r="H51" s="31">
        <v>250000</v>
      </c>
      <c r="I51" s="31">
        <v>250000</v>
      </c>
      <c r="J51" s="31">
        <v>250000</v>
      </c>
      <c r="K51" s="31">
        <v>250000</v>
      </c>
      <c r="L51" s="31">
        <v>250000</v>
      </c>
      <c r="M51" s="31">
        <v>250000</v>
      </c>
      <c r="N51" s="31">
        <v>250000</v>
      </c>
      <c r="O51" s="11">
        <f t="shared" si="18"/>
        <v>3000000</v>
      </c>
    </row>
    <row r="52" spans="1:17">
      <c r="A52" s="3">
        <v>420713</v>
      </c>
      <c r="B52" t="s">
        <v>69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11">
        <f t="shared" si="18"/>
        <v>0</v>
      </c>
    </row>
    <row r="53" spans="1:17">
      <c r="A53" s="3">
        <v>420714</v>
      </c>
      <c r="B53" s="37" t="s">
        <v>70</v>
      </c>
      <c r="C53" s="40">
        <v>21000</v>
      </c>
      <c r="D53" s="40">
        <v>21000</v>
      </c>
      <c r="E53" s="40">
        <v>21000</v>
      </c>
      <c r="F53" s="40">
        <v>21000</v>
      </c>
      <c r="G53" s="40">
        <v>21000</v>
      </c>
      <c r="H53" s="40">
        <v>21000</v>
      </c>
      <c r="I53" s="40">
        <v>21000</v>
      </c>
      <c r="J53" s="40">
        <v>21000</v>
      </c>
      <c r="K53" s="40">
        <v>21000</v>
      </c>
      <c r="L53" s="40">
        <v>21000</v>
      </c>
      <c r="M53" s="40">
        <v>21000</v>
      </c>
      <c r="N53" s="40">
        <v>21000</v>
      </c>
      <c r="O53" s="11">
        <f t="shared" si="18"/>
        <v>252000</v>
      </c>
    </row>
    <row r="54" spans="1:17">
      <c r="A54" s="3">
        <v>420717</v>
      </c>
      <c r="B54" t="s">
        <v>71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11">
        <f t="shared" si="18"/>
        <v>0</v>
      </c>
    </row>
    <row r="55" spans="1:17">
      <c r="A55" s="3">
        <v>420719</v>
      </c>
      <c r="B55" s="41" t="s">
        <v>72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11">
        <f t="shared" si="18"/>
        <v>0</v>
      </c>
    </row>
    <row r="56" spans="1:17">
      <c r="A56" s="3">
        <v>420720</v>
      </c>
      <c r="B56" t="s">
        <v>73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11">
        <f t="shared" si="18"/>
        <v>0</v>
      </c>
    </row>
    <row r="57" spans="1:17">
      <c r="A57" s="3">
        <v>420721</v>
      </c>
      <c r="B57" t="s">
        <v>74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11">
        <f t="shared" si="18"/>
        <v>0</v>
      </c>
    </row>
    <row r="58" spans="1:17">
      <c r="A58" s="3">
        <v>420725</v>
      </c>
      <c r="B58" t="s">
        <v>75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11">
        <f t="shared" si="18"/>
        <v>0</v>
      </c>
    </row>
    <row r="59" spans="1:17">
      <c r="A59" s="3">
        <v>420727</v>
      </c>
      <c r="B59" s="24" t="s">
        <v>76</v>
      </c>
      <c r="C59" s="31">
        <v>1200000</v>
      </c>
      <c r="D59" s="31">
        <v>1200000</v>
      </c>
      <c r="E59" s="31">
        <v>1200000</v>
      </c>
      <c r="F59" s="31">
        <v>1200000</v>
      </c>
      <c r="G59" s="31">
        <v>1200000</v>
      </c>
      <c r="H59" s="31">
        <v>1200000</v>
      </c>
      <c r="I59" s="31">
        <v>1200000</v>
      </c>
      <c r="J59" s="31">
        <v>1200000</v>
      </c>
      <c r="K59" s="31">
        <v>1200000</v>
      </c>
      <c r="L59" s="31">
        <v>1200000</v>
      </c>
      <c r="M59" s="31">
        <v>1200000</v>
      </c>
      <c r="N59" s="31">
        <v>1200000</v>
      </c>
      <c r="O59" s="11">
        <f t="shared" si="18"/>
        <v>14400000</v>
      </c>
    </row>
    <row r="60" spans="1:17">
      <c r="A60" s="32">
        <v>420700</v>
      </c>
      <c r="B60" s="33" t="s">
        <v>60</v>
      </c>
      <c r="C60" s="34">
        <f t="shared" ref="C60:N60" si="20">SUM(C44:C59)</f>
        <v>3526462</v>
      </c>
      <c r="D60" s="34">
        <f t="shared" si="20"/>
        <v>3526462</v>
      </c>
      <c r="E60" s="34">
        <f t="shared" si="20"/>
        <v>3549562</v>
      </c>
      <c r="F60" s="34">
        <f t="shared" si="20"/>
        <v>3549562</v>
      </c>
      <c r="G60" s="34">
        <f t="shared" si="20"/>
        <v>3549562</v>
      </c>
      <c r="H60" s="34">
        <f t="shared" si="20"/>
        <v>3549562</v>
      </c>
      <c r="I60" s="34">
        <f t="shared" si="20"/>
        <v>3549562</v>
      </c>
      <c r="J60" s="34">
        <f t="shared" si="20"/>
        <v>3549562</v>
      </c>
      <c r="K60" s="34">
        <f t="shared" si="20"/>
        <v>3549562</v>
      </c>
      <c r="L60" s="34">
        <f t="shared" si="20"/>
        <v>3549562</v>
      </c>
      <c r="M60" s="34">
        <f t="shared" si="20"/>
        <v>3549562</v>
      </c>
      <c r="N60" s="34">
        <f t="shared" si="20"/>
        <v>3549562</v>
      </c>
      <c r="O60" s="34">
        <f>SUM(C60:G60)</f>
        <v>17701610</v>
      </c>
      <c r="Q60" s="13">
        <f t="shared" ref="Q60" si="21">+O60/$O$5</f>
        <v>2.4467581330030741E-2</v>
      </c>
    </row>
    <row r="61" spans="1:17">
      <c r="A61" s="3">
        <v>420900</v>
      </c>
      <c r="B61" t="s">
        <v>77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11">
        <f>SUM(C61:N61)</f>
        <v>0</v>
      </c>
    </row>
    <row r="62" spans="1:17">
      <c r="A62" s="3">
        <v>420905</v>
      </c>
      <c r="B62" t="s">
        <v>78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11">
        <f>SUM(C62:N62)</f>
        <v>0</v>
      </c>
    </row>
    <row r="63" spans="1:17">
      <c r="A63" s="32">
        <v>420900</v>
      </c>
      <c r="B63" s="33" t="s">
        <v>77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f>SUM(C63:G63)</f>
        <v>0</v>
      </c>
    </row>
    <row r="64" spans="1:17">
      <c r="A64" s="42">
        <v>420000</v>
      </c>
      <c r="B64" s="43" t="s">
        <v>33</v>
      </c>
      <c r="C64" s="44">
        <f t="shared" ref="C64:N64" si="22">+C15+C18+C21+C26+C32+C42+C60+C63</f>
        <v>27798952</v>
      </c>
      <c r="D64" s="44">
        <f t="shared" si="22"/>
        <v>27785453</v>
      </c>
      <c r="E64" s="44">
        <f t="shared" si="22"/>
        <v>27609958</v>
      </c>
      <c r="F64" s="44">
        <f t="shared" si="22"/>
        <v>27662239</v>
      </c>
      <c r="G64" s="44">
        <f t="shared" si="22"/>
        <v>27888776</v>
      </c>
      <c r="H64" s="44">
        <f t="shared" si="22"/>
        <v>28243630</v>
      </c>
      <c r="I64" s="44">
        <f t="shared" si="22"/>
        <v>28221515</v>
      </c>
      <c r="J64" s="44">
        <f t="shared" si="22"/>
        <v>28230247</v>
      </c>
      <c r="K64" s="44">
        <f t="shared" si="22"/>
        <v>28186751</v>
      </c>
      <c r="L64" s="44">
        <f t="shared" si="22"/>
        <v>28166373</v>
      </c>
      <c r="M64" s="44">
        <f t="shared" si="22"/>
        <v>28171244</v>
      </c>
      <c r="N64" s="44">
        <f t="shared" si="22"/>
        <v>28156354</v>
      </c>
      <c r="O64" s="44">
        <f>SUM(C64:G64)</f>
        <v>138745378</v>
      </c>
      <c r="Q64" s="13">
        <f t="shared" ref="Q64" si="23">+O64/$O$5</f>
        <v>0.19177712198951721</v>
      </c>
    </row>
    <row r="65" spans="1:17">
      <c r="A65" s="3">
        <v>430000</v>
      </c>
      <c r="B65" t="s">
        <v>79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11">
        <f t="shared" ref="O65:O74" si="24">SUM(C65:N65)</f>
        <v>0</v>
      </c>
    </row>
    <row r="66" spans="1:17">
      <c r="A66" s="3">
        <v>430100</v>
      </c>
      <c r="B66" t="s">
        <v>80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11">
        <f t="shared" si="24"/>
        <v>0</v>
      </c>
    </row>
    <row r="67" spans="1:17">
      <c r="A67" s="3">
        <v>430102</v>
      </c>
      <c r="B67" t="s">
        <v>81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11">
        <f t="shared" si="24"/>
        <v>0</v>
      </c>
    </row>
    <row r="68" spans="1:17">
      <c r="A68" s="3">
        <v>430100</v>
      </c>
      <c r="B68" t="s">
        <v>80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11">
        <f t="shared" si="24"/>
        <v>0</v>
      </c>
    </row>
    <row r="69" spans="1:17">
      <c r="A69" s="3">
        <v>430200</v>
      </c>
      <c r="B69" t="s">
        <v>82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11">
        <f t="shared" si="24"/>
        <v>0</v>
      </c>
    </row>
    <row r="70" spans="1:17">
      <c r="A70" s="3">
        <v>430201</v>
      </c>
      <c r="B70" t="s">
        <v>83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11">
        <f t="shared" si="24"/>
        <v>0</v>
      </c>
    </row>
    <row r="71" spans="1:17">
      <c r="A71" s="3">
        <v>430202</v>
      </c>
      <c r="B71" t="s">
        <v>84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11">
        <f t="shared" si="24"/>
        <v>0</v>
      </c>
    </row>
    <row r="72" spans="1:17">
      <c r="A72" s="3">
        <v>430200</v>
      </c>
      <c r="B72" t="s">
        <v>82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11">
        <f t="shared" si="24"/>
        <v>0</v>
      </c>
    </row>
    <row r="73" spans="1:17">
      <c r="A73" s="3">
        <v>430000</v>
      </c>
      <c r="B73" t="s">
        <v>79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11">
        <f t="shared" si="24"/>
        <v>0</v>
      </c>
    </row>
    <row r="74" spans="1:17">
      <c r="A74" s="3">
        <v>400000</v>
      </c>
      <c r="B74" t="s">
        <v>19</v>
      </c>
      <c r="C74" s="31">
        <f t="shared" ref="C74:N74" si="25">+C64+C8+C73</f>
        <v>47169914.799999997</v>
      </c>
      <c r="D74" s="31">
        <f t="shared" si="25"/>
        <v>48127170.200000003</v>
      </c>
      <c r="E74" s="31">
        <f t="shared" si="25"/>
        <v>48481177.600000001</v>
      </c>
      <c r="F74" s="31">
        <f t="shared" si="25"/>
        <v>49768964.200000003</v>
      </c>
      <c r="G74" s="31">
        <f t="shared" si="25"/>
        <v>51760509.200000003</v>
      </c>
      <c r="H74" s="31">
        <f t="shared" si="25"/>
        <v>52380114.399999999</v>
      </c>
      <c r="I74" s="31">
        <f t="shared" si="25"/>
        <v>54343633.400000006</v>
      </c>
      <c r="J74" s="31">
        <f t="shared" si="25"/>
        <v>54837742.600000001</v>
      </c>
      <c r="K74" s="31">
        <f t="shared" si="25"/>
        <v>57441758.600000001</v>
      </c>
      <c r="L74" s="31">
        <f t="shared" si="25"/>
        <v>59671765.799999997</v>
      </c>
      <c r="M74" s="31">
        <f t="shared" si="25"/>
        <v>60868017.200000003</v>
      </c>
      <c r="N74" s="31">
        <f t="shared" si="25"/>
        <v>61206128.799999997</v>
      </c>
      <c r="O74" s="11">
        <f t="shared" si="24"/>
        <v>646056896.79999995</v>
      </c>
      <c r="Q74" s="11"/>
    </row>
    <row r="75" spans="1:17" ht="18">
      <c r="B75" t="s">
        <v>85</v>
      </c>
      <c r="C75" s="45">
        <f t="shared" ref="C75:O75" si="26">+C5-C74</f>
        <v>-1952914.799999997</v>
      </c>
      <c r="D75" s="45">
        <f t="shared" si="26"/>
        <v>-644170.19999999553</v>
      </c>
      <c r="E75" s="45">
        <f t="shared" si="26"/>
        <v>237822.39999999851</v>
      </c>
      <c r="F75" s="45">
        <f t="shared" si="26"/>
        <v>1834035.799999997</v>
      </c>
      <c r="G75" s="45">
        <f t="shared" si="26"/>
        <v>3962490.8000000045</v>
      </c>
      <c r="H75" s="45">
        <f t="shared" si="26"/>
        <v>3960885.6000000015</v>
      </c>
      <c r="I75" s="45">
        <f t="shared" si="26"/>
        <v>6632366.6000000015</v>
      </c>
      <c r="J75" s="45">
        <f t="shared" si="26"/>
        <v>7271257.3999999985</v>
      </c>
      <c r="K75" s="45">
        <f t="shared" si="26"/>
        <v>10847241.399999999</v>
      </c>
      <c r="L75" s="45">
        <f t="shared" si="26"/>
        <v>13870234.200000003</v>
      </c>
      <c r="M75" s="45">
        <f t="shared" si="26"/>
        <v>15454982.799999997</v>
      </c>
      <c r="N75" s="45">
        <f t="shared" si="26"/>
        <v>15940871.200000003</v>
      </c>
      <c r="O75" s="46">
        <f t="shared" si="26"/>
        <v>77415103.200000048</v>
      </c>
      <c r="P75" s="11"/>
    </row>
    <row r="76" spans="1:17" ht="18">
      <c r="B76" t="s">
        <v>86</v>
      </c>
      <c r="C76" s="31">
        <f>+C75</f>
        <v>-1952914.799999997</v>
      </c>
      <c r="D76" s="31">
        <f>+C76+D75</f>
        <v>-2597084.9999999925</v>
      </c>
      <c r="E76" s="31">
        <f t="shared" ref="E76:N76" si="27">+D76+E75</f>
        <v>-2359262.599999994</v>
      </c>
      <c r="F76" s="31">
        <f t="shared" si="27"/>
        <v>-525226.79999999702</v>
      </c>
      <c r="G76" s="31">
        <f t="shared" si="27"/>
        <v>3437264.0000000075</v>
      </c>
      <c r="H76" s="31">
        <f t="shared" si="27"/>
        <v>7398149.6000000089</v>
      </c>
      <c r="I76" s="31">
        <f t="shared" si="27"/>
        <v>14030516.20000001</v>
      </c>
      <c r="J76" s="31">
        <f t="shared" si="27"/>
        <v>21301773.600000009</v>
      </c>
      <c r="K76" s="31">
        <f t="shared" si="27"/>
        <v>32149015.000000007</v>
      </c>
      <c r="L76" s="31">
        <f t="shared" si="27"/>
        <v>46019249.20000001</v>
      </c>
      <c r="M76" s="31">
        <f t="shared" si="27"/>
        <v>61474232.000000007</v>
      </c>
      <c r="N76" s="46">
        <f t="shared" si="27"/>
        <v>77415103.200000018</v>
      </c>
    </row>
    <row r="77" spans="1:17">
      <c r="C77" s="47">
        <f t="shared" ref="C77:N77" si="28">+C75/C4</f>
        <v>-4.3189835681270251E-2</v>
      </c>
      <c r="D77" s="47">
        <f t="shared" si="28"/>
        <v>-1.356633321399228E-2</v>
      </c>
      <c r="E77" s="47">
        <f t="shared" si="28"/>
        <v>4.8815123463124962E-3</v>
      </c>
      <c r="F77" s="47">
        <f t="shared" si="28"/>
        <v>3.5541263104858188E-2</v>
      </c>
      <c r="G77" s="47">
        <f t="shared" si="28"/>
        <v>7.1110507330904724E-2</v>
      </c>
      <c r="H77" s="47">
        <f t="shared" si="28"/>
        <v>7.0302010968921413E-2</v>
      </c>
      <c r="I77" s="47">
        <f t="shared" si="28"/>
        <v>0.10877011611125689</v>
      </c>
      <c r="J77" s="47">
        <f t="shared" si="28"/>
        <v>0.11707252411083738</v>
      </c>
      <c r="K77" s="47">
        <f t="shared" si="28"/>
        <v>0.1588431723996544</v>
      </c>
      <c r="L77" s="47">
        <f t="shared" si="28"/>
        <v>0.18860289630415278</v>
      </c>
      <c r="M77" s="47">
        <f t="shared" si="28"/>
        <v>0.20249443549126733</v>
      </c>
      <c r="N77" s="47">
        <f t="shared" si="28"/>
        <v>0.2066298261760017</v>
      </c>
      <c r="O77" s="48"/>
    </row>
    <row r="78" spans="1:17" ht="18">
      <c r="C78" s="49"/>
      <c r="G78" s="22"/>
      <c r="H78" s="22"/>
      <c r="I78" s="22"/>
      <c r="J78" s="22"/>
      <c r="K78" s="22"/>
      <c r="L78" s="22"/>
      <c r="M78" s="22"/>
      <c r="N78" s="22"/>
      <c r="O78" s="46">
        <v>30000000</v>
      </c>
      <c r="P78" s="3" t="s">
        <v>87</v>
      </c>
    </row>
    <row r="79" spans="1:17"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3"/>
      <c r="P79" s="50"/>
    </row>
    <row r="80" spans="1:17">
      <c r="O80" s="49"/>
    </row>
    <row r="81" spans="2:16">
      <c r="O81" s="1"/>
    </row>
    <row r="82" spans="2:16" ht="18">
      <c r="O82" s="46">
        <f>+O75-O78</f>
        <v>47415103.200000048</v>
      </c>
    </row>
    <row r="83" spans="2:16">
      <c r="C83" s="49"/>
      <c r="O83" s="49"/>
    </row>
    <row r="85" spans="2:16">
      <c r="O85" s="49"/>
      <c r="P85" s="23"/>
    </row>
    <row r="91" spans="2:16">
      <c r="B91" s="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</sheetData>
  <hyperlinks>
    <hyperlink ref="B59" location="'ALMACENAMIENTO '!A1" display="      Gastos Almacenamiento" xr:uid="{697C86B6-259B-4482-BC57-3A122BC4F0BE}"/>
    <hyperlink ref="B12" location="'REMUNERACIONES '!A1" display="      Remuneraciones Brutas " xr:uid="{FFF3D5E1-7BE2-42F0-853F-8CA310EA6DAA}"/>
    <hyperlink ref="B44" location="ARRIENDO_OFICINA!A1" display="      Arriendo de Oficinas" xr:uid="{E2CD380E-C098-472D-974B-9A74751D00F6}"/>
    <hyperlink ref="B4" location="'MARGENES_ESTIMADOS '!A1" display="  INGRESOS DE LA EXPLOTACIÓN" xr:uid="{96D40180-89C8-41BA-BE1D-EBDC3758CEB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DD45-08FF-4087-9F28-7C00019BBC11}">
  <dimension ref="A1:AN34"/>
  <sheetViews>
    <sheetView workbookViewId="0">
      <selection activeCell="AL21" sqref="AL21"/>
    </sheetView>
  </sheetViews>
  <sheetFormatPr baseColWidth="10" defaultRowHeight="15.6"/>
  <cols>
    <col min="1" max="1" width="81.296875" customWidth="1"/>
  </cols>
  <sheetData>
    <row r="1" spans="1:38">
      <c r="A1" t="s">
        <v>0</v>
      </c>
    </row>
    <row r="2" spans="1:38">
      <c r="A2" t="s">
        <v>101</v>
      </c>
    </row>
    <row r="3" spans="1:38">
      <c r="A3" t="s">
        <v>1</v>
      </c>
    </row>
    <row r="5" spans="1:38">
      <c r="A5" t="s">
        <v>2</v>
      </c>
      <c r="B5" t="s">
        <v>102</v>
      </c>
      <c r="C5" t="s">
        <v>103</v>
      </c>
      <c r="D5" t="s">
        <v>104</v>
      </c>
      <c r="E5" t="s">
        <v>105</v>
      </c>
      <c r="F5" t="s">
        <v>106</v>
      </c>
      <c r="G5" t="s">
        <v>107</v>
      </c>
      <c r="H5" t="s">
        <v>108</v>
      </c>
      <c r="I5" t="s">
        <v>109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117</v>
      </c>
      <c r="R5" t="s">
        <v>118</v>
      </c>
      <c r="S5" t="s">
        <v>119</v>
      </c>
      <c r="T5" t="s">
        <v>120</v>
      </c>
      <c r="U5" t="s">
        <v>121</v>
      </c>
      <c r="V5" t="s">
        <v>122</v>
      </c>
      <c r="W5" t="s">
        <v>123</v>
      </c>
      <c r="X5" t="s">
        <v>124</v>
      </c>
      <c r="Y5" t="s">
        <v>125</v>
      </c>
      <c r="Z5" t="s">
        <v>126</v>
      </c>
      <c r="AA5" t="s">
        <v>127</v>
      </c>
      <c r="AB5" t="s">
        <v>128</v>
      </c>
      <c r="AC5" t="s">
        <v>129</v>
      </c>
      <c r="AD5" t="s">
        <v>130</v>
      </c>
      <c r="AE5" t="s">
        <v>131</v>
      </c>
      <c r="AF5" t="s">
        <v>132</v>
      </c>
      <c r="AG5" t="s">
        <v>133</v>
      </c>
      <c r="AH5" t="s">
        <v>134</v>
      </c>
      <c r="AI5" t="s">
        <v>135</v>
      </c>
      <c r="AJ5" t="s">
        <v>136</v>
      </c>
      <c r="AK5" t="s">
        <v>14</v>
      </c>
    </row>
    <row r="6" spans="1:38">
      <c r="A6" t="s">
        <v>15</v>
      </c>
    </row>
    <row r="7" spans="1:38">
      <c r="A7" t="s">
        <v>137</v>
      </c>
      <c r="B7" s="1">
        <v>14636367</v>
      </c>
      <c r="AK7" s="1">
        <f>SUM(B7:AJ7)</f>
        <v>14636367</v>
      </c>
    </row>
    <row r="8" spans="1:38">
      <c r="A8" t="s">
        <v>17</v>
      </c>
      <c r="B8" s="1">
        <v>171920</v>
      </c>
      <c r="C8" s="1">
        <v>389908</v>
      </c>
      <c r="D8" s="1">
        <v>900914</v>
      </c>
      <c r="E8">
        <v>0</v>
      </c>
      <c r="F8">
        <v>0</v>
      </c>
      <c r="G8" s="1">
        <v>35973</v>
      </c>
      <c r="H8" s="1">
        <v>382919</v>
      </c>
      <c r="I8" s="1">
        <v>89321</v>
      </c>
      <c r="J8" s="1">
        <v>767712</v>
      </c>
      <c r="K8" s="1">
        <v>5164518</v>
      </c>
      <c r="L8">
        <v>0</v>
      </c>
      <c r="M8">
        <v>0</v>
      </c>
      <c r="N8" s="1">
        <v>741625</v>
      </c>
      <c r="O8" s="1">
        <v>2298785</v>
      </c>
      <c r="P8" s="1">
        <v>4609297</v>
      </c>
      <c r="Q8" s="1">
        <v>829382</v>
      </c>
      <c r="R8" s="1">
        <v>478410</v>
      </c>
      <c r="S8">
        <v>0</v>
      </c>
      <c r="T8" s="1">
        <v>0</v>
      </c>
      <c r="U8" s="1">
        <v>180190</v>
      </c>
      <c r="V8">
        <v>0</v>
      </c>
      <c r="W8" s="1">
        <v>459289</v>
      </c>
      <c r="X8" s="1">
        <v>230166</v>
      </c>
      <c r="Y8">
        <v>0</v>
      </c>
      <c r="Z8">
        <v>0</v>
      </c>
      <c r="AA8" s="1">
        <v>0</v>
      </c>
      <c r="AB8" s="1">
        <v>112513</v>
      </c>
      <c r="AC8" s="1">
        <v>650956</v>
      </c>
      <c r="AD8" s="1">
        <v>404600</v>
      </c>
      <c r="AE8" s="1">
        <f>3246562-2918097</f>
        <v>328465</v>
      </c>
      <c r="AF8" s="1">
        <v>0</v>
      </c>
      <c r="AG8">
        <v>0</v>
      </c>
      <c r="AH8">
        <v>0</v>
      </c>
      <c r="AI8">
        <v>0</v>
      </c>
      <c r="AJ8">
        <v>0</v>
      </c>
      <c r="AK8" s="1">
        <f t="shared" ref="AK8:AK15" si="0">SUM(B8:AJ8)</f>
        <v>19226863</v>
      </c>
      <c r="AL8" s="51">
        <f>+AK8+AK10+AK11</f>
        <v>45184342</v>
      </c>
    </row>
    <row r="9" spans="1:38">
      <c r="A9" t="s">
        <v>17</v>
      </c>
      <c r="B9" s="1"/>
      <c r="C9" s="1"/>
      <c r="D9" s="1"/>
      <c r="G9" s="1"/>
      <c r="H9" s="1"/>
      <c r="I9" s="1"/>
      <c r="J9" s="1"/>
      <c r="K9" s="1"/>
      <c r="N9" s="1"/>
      <c r="O9" s="1"/>
      <c r="P9" s="1"/>
      <c r="Q9" s="1"/>
      <c r="R9" s="1"/>
      <c r="T9" s="1"/>
      <c r="U9" s="1"/>
      <c r="W9" s="1"/>
      <c r="X9" s="1"/>
      <c r="AA9" s="1"/>
      <c r="AB9" s="1"/>
      <c r="AC9" s="1"/>
      <c r="AD9" s="1"/>
      <c r="AE9" s="1"/>
      <c r="AF9" s="1"/>
      <c r="AK9" s="1">
        <f t="shared" si="0"/>
        <v>0</v>
      </c>
    </row>
    <row r="10" spans="1:38">
      <c r="A10" t="s">
        <v>98</v>
      </c>
      <c r="B10" s="52">
        <f>+'[2]por cobrar vencido'!M70</f>
        <v>3412482</v>
      </c>
      <c r="C10" s="1"/>
      <c r="D10" s="1"/>
      <c r="G10" s="1"/>
      <c r="H10" s="1"/>
      <c r="I10" s="1"/>
      <c r="J10" s="1"/>
      <c r="K10" s="1"/>
      <c r="N10" s="1"/>
      <c r="O10" s="1"/>
      <c r="P10" s="1"/>
      <c r="Q10" s="1"/>
      <c r="R10" s="1"/>
      <c r="T10" s="1"/>
      <c r="U10" s="1"/>
      <c r="W10" s="1"/>
      <c r="X10" s="1"/>
      <c r="AA10" s="1"/>
      <c r="AB10" s="1"/>
      <c r="AC10" s="1"/>
      <c r="AD10" s="1"/>
      <c r="AE10" s="1"/>
      <c r="AF10" s="1"/>
      <c r="AK10" s="1">
        <f t="shared" si="0"/>
        <v>3412482</v>
      </c>
    </row>
    <row r="11" spans="1:38">
      <c r="A11" t="s">
        <v>99</v>
      </c>
      <c r="B11" s="1">
        <v>500000</v>
      </c>
      <c r="C11" s="1">
        <v>0</v>
      </c>
      <c r="D11" s="1">
        <v>0</v>
      </c>
      <c r="E11">
        <v>500000</v>
      </c>
      <c r="F11">
        <v>936739</v>
      </c>
      <c r="G11">
        <v>936739</v>
      </c>
      <c r="H11">
        <v>936739</v>
      </c>
      <c r="I11">
        <v>936739</v>
      </c>
      <c r="J11" s="1"/>
      <c r="K11" s="1"/>
      <c r="L11">
        <v>936739</v>
      </c>
      <c r="M11">
        <v>936739</v>
      </c>
      <c r="N11">
        <v>936739</v>
      </c>
      <c r="O11">
        <v>936739</v>
      </c>
      <c r="P11">
        <v>936739</v>
      </c>
      <c r="Q11" s="1"/>
      <c r="R11" s="1"/>
      <c r="S11">
        <v>936739</v>
      </c>
      <c r="T11">
        <v>936739</v>
      </c>
      <c r="U11">
        <v>936739</v>
      </c>
      <c r="V11">
        <v>936739</v>
      </c>
      <c r="W11">
        <v>936739</v>
      </c>
      <c r="X11" s="1"/>
      <c r="Z11">
        <v>936739</v>
      </c>
      <c r="AA11">
        <v>936739</v>
      </c>
      <c r="AB11">
        <v>936739</v>
      </c>
      <c r="AC11">
        <v>936739</v>
      </c>
      <c r="AD11">
        <v>936739</v>
      </c>
      <c r="AE11" s="1">
        <v>0</v>
      </c>
      <c r="AF11" s="1">
        <v>0</v>
      </c>
      <c r="AG11">
        <v>936739</v>
      </c>
      <c r="AH11">
        <v>936739</v>
      </c>
      <c r="AI11">
        <v>936739</v>
      </c>
      <c r="AJ11">
        <v>936739</v>
      </c>
      <c r="AK11" s="1">
        <f t="shared" si="0"/>
        <v>22544997</v>
      </c>
    </row>
    <row r="12" spans="1:38">
      <c r="A12" t="s">
        <v>100</v>
      </c>
      <c r="B12" s="53">
        <v>0</v>
      </c>
      <c r="C12" s="1"/>
      <c r="D12" s="1"/>
      <c r="E12" s="53">
        <v>30000000</v>
      </c>
      <c r="G12" s="1"/>
      <c r="H12" s="1"/>
      <c r="I12" s="1"/>
      <c r="J12" s="1"/>
      <c r="K12" s="1"/>
      <c r="N12" s="1"/>
      <c r="O12" s="1"/>
      <c r="P12" s="1"/>
      <c r="Q12" s="1"/>
      <c r="R12" s="1"/>
      <c r="T12" s="1"/>
      <c r="U12" s="1"/>
      <c r="W12" s="1"/>
      <c r="X12" s="1"/>
      <c r="AA12" s="1"/>
      <c r="AB12" s="1"/>
      <c r="AC12" s="1"/>
      <c r="AD12" s="1"/>
      <c r="AE12" s="1"/>
      <c r="AF12" s="1"/>
      <c r="AK12" s="1">
        <f t="shared" si="0"/>
        <v>30000000</v>
      </c>
    </row>
    <row r="13" spans="1:38">
      <c r="B13" s="1"/>
      <c r="C13" s="1"/>
      <c r="D13" s="1"/>
      <c r="G13" s="1"/>
      <c r="H13" s="1"/>
      <c r="I13" s="1"/>
      <c r="J13" s="1"/>
      <c r="K13" s="1"/>
      <c r="N13" s="1"/>
      <c r="O13" s="1"/>
      <c r="P13" s="1"/>
      <c r="Q13" s="1"/>
      <c r="R13" s="1"/>
      <c r="T13" s="1"/>
      <c r="U13" s="1"/>
      <c r="W13" s="1"/>
      <c r="X13" s="1"/>
      <c r="AA13" s="1"/>
      <c r="AB13" s="1"/>
      <c r="AC13" s="1"/>
      <c r="AD13" s="1"/>
      <c r="AE13" s="1"/>
      <c r="AF13" s="1"/>
      <c r="AK13" s="1">
        <f t="shared" si="0"/>
        <v>0</v>
      </c>
    </row>
    <row r="14" spans="1:38">
      <c r="B14" s="1"/>
      <c r="C14" s="1"/>
      <c r="D14" s="1"/>
      <c r="G14" s="1"/>
      <c r="H14" s="1"/>
      <c r="I14" s="1"/>
      <c r="J14" s="1"/>
      <c r="K14" s="1"/>
      <c r="N14" s="1"/>
      <c r="O14" s="1"/>
      <c r="P14" s="1"/>
      <c r="Q14" s="1"/>
      <c r="R14" s="1"/>
      <c r="T14" s="1"/>
      <c r="U14" s="1"/>
      <c r="W14" s="1"/>
      <c r="X14" s="1"/>
      <c r="AA14" s="1"/>
      <c r="AB14" s="1"/>
      <c r="AC14" s="1"/>
      <c r="AD14" s="1"/>
      <c r="AE14" s="1"/>
      <c r="AF14" s="1"/>
      <c r="AK14" s="1">
        <f t="shared" si="0"/>
        <v>0</v>
      </c>
    </row>
    <row r="15" spans="1:38">
      <c r="A15" t="s">
        <v>18</v>
      </c>
      <c r="B15" s="1">
        <f>SUM(B7:B14)</f>
        <v>18720769</v>
      </c>
      <c r="C15" s="1">
        <f t="shared" ref="C15:AJ15" si="1">SUM(C7:C14)</f>
        <v>389908</v>
      </c>
      <c r="D15" s="1">
        <f t="shared" si="1"/>
        <v>900914</v>
      </c>
      <c r="E15" s="1">
        <f t="shared" si="1"/>
        <v>30500000</v>
      </c>
      <c r="F15" s="1">
        <f t="shared" si="1"/>
        <v>936739</v>
      </c>
      <c r="G15" s="1">
        <f t="shared" si="1"/>
        <v>972712</v>
      </c>
      <c r="H15" s="1">
        <f t="shared" si="1"/>
        <v>1319658</v>
      </c>
      <c r="I15" s="1">
        <f t="shared" si="1"/>
        <v>1026060</v>
      </c>
      <c r="J15" s="1">
        <f t="shared" si="1"/>
        <v>767712</v>
      </c>
      <c r="K15" s="1">
        <f t="shared" si="1"/>
        <v>5164518</v>
      </c>
      <c r="L15" s="1">
        <f t="shared" si="1"/>
        <v>936739</v>
      </c>
      <c r="M15" s="1">
        <f t="shared" si="1"/>
        <v>936739</v>
      </c>
      <c r="N15" s="1">
        <f t="shared" si="1"/>
        <v>1678364</v>
      </c>
      <c r="O15" s="1">
        <f t="shared" si="1"/>
        <v>3235524</v>
      </c>
      <c r="P15" s="1">
        <f t="shared" si="1"/>
        <v>5546036</v>
      </c>
      <c r="Q15" s="1">
        <f t="shared" si="1"/>
        <v>829382</v>
      </c>
      <c r="R15" s="1">
        <f t="shared" si="1"/>
        <v>478410</v>
      </c>
      <c r="S15" s="1">
        <f t="shared" si="1"/>
        <v>936739</v>
      </c>
      <c r="T15" s="1">
        <f t="shared" si="1"/>
        <v>936739</v>
      </c>
      <c r="U15" s="1">
        <f t="shared" si="1"/>
        <v>1116929</v>
      </c>
      <c r="V15" s="1">
        <f t="shared" si="1"/>
        <v>936739</v>
      </c>
      <c r="W15" s="1">
        <f t="shared" si="1"/>
        <v>1396028</v>
      </c>
      <c r="X15" s="1">
        <f t="shared" si="1"/>
        <v>230166</v>
      </c>
      <c r="Y15" s="1">
        <f t="shared" si="1"/>
        <v>0</v>
      </c>
      <c r="Z15" s="1">
        <f t="shared" si="1"/>
        <v>936739</v>
      </c>
      <c r="AA15" s="1">
        <f t="shared" si="1"/>
        <v>936739</v>
      </c>
      <c r="AB15" s="1">
        <f t="shared" si="1"/>
        <v>1049252</v>
      </c>
      <c r="AC15" s="1">
        <f t="shared" si="1"/>
        <v>1587695</v>
      </c>
      <c r="AD15" s="1">
        <f t="shared" si="1"/>
        <v>1341339</v>
      </c>
      <c r="AE15" s="1">
        <f t="shared" si="1"/>
        <v>328465</v>
      </c>
      <c r="AF15" s="1">
        <f t="shared" si="1"/>
        <v>0</v>
      </c>
      <c r="AG15" s="1">
        <f t="shared" si="1"/>
        <v>936739</v>
      </c>
      <c r="AH15" s="1">
        <f t="shared" si="1"/>
        <v>936739</v>
      </c>
      <c r="AI15" s="1">
        <f t="shared" si="1"/>
        <v>936739</v>
      </c>
      <c r="AJ15" s="1">
        <f t="shared" si="1"/>
        <v>936739</v>
      </c>
      <c r="AK15" s="1">
        <f t="shared" si="0"/>
        <v>89820709</v>
      </c>
    </row>
    <row r="17" spans="1:40">
      <c r="A17" t="s">
        <v>19</v>
      </c>
    </row>
    <row r="18" spans="1:40">
      <c r="A18" t="s">
        <v>20</v>
      </c>
      <c r="B18" s="1">
        <v>1532841</v>
      </c>
      <c r="C18" s="1">
        <v>861037</v>
      </c>
      <c r="D18" s="1">
        <v>1677115</v>
      </c>
      <c r="E18" s="1">
        <v>152965</v>
      </c>
      <c r="F18" s="1">
        <v>5058</v>
      </c>
      <c r="G18" s="1">
        <v>1309000</v>
      </c>
      <c r="H18">
        <v>0</v>
      </c>
      <c r="I18" s="1">
        <v>39687</v>
      </c>
      <c r="J18" s="1">
        <v>1201008</v>
      </c>
      <c r="K18" s="1">
        <v>178439</v>
      </c>
      <c r="L18" s="1">
        <v>2609801</v>
      </c>
      <c r="M18">
        <v>0</v>
      </c>
      <c r="N18">
        <v>0</v>
      </c>
      <c r="O18">
        <v>0</v>
      </c>
      <c r="P18" s="1">
        <v>625202</v>
      </c>
      <c r="Q18" s="1">
        <v>167243</v>
      </c>
      <c r="R18" s="1">
        <v>2114470</v>
      </c>
      <c r="S18">
        <v>0</v>
      </c>
      <c r="T18">
        <v>0</v>
      </c>
      <c r="U18">
        <v>0</v>
      </c>
      <c r="V18" s="1">
        <v>1117352</v>
      </c>
      <c r="W18">
        <v>0</v>
      </c>
      <c r="X18">
        <v>0</v>
      </c>
      <c r="Y18">
        <v>0</v>
      </c>
      <c r="Z18" s="1">
        <v>202883</v>
      </c>
      <c r="AA18">
        <v>0</v>
      </c>
      <c r="AB18">
        <v>0</v>
      </c>
      <c r="AC18">
        <v>0</v>
      </c>
      <c r="AD18">
        <v>0</v>
      </c>
      <c r="AE18" s="1">
        <v>658535</v>
      </c>
      <c r="AF18">
        <v>0</v>
      </c>
      <c r="AG18" s="1">
        <v>1605004</v>
      </c>
      <c r="AH18" s="1">
        <v>906935</v>
      </c>
      <c r="AI18">
        <v>0</v>
      </c>
      <c r="AJ18">
        <v>0</v>
      </c>
      <c r="AK18" s="1">
        <f t="shared" ref="AK18:AK32" si="2">SUM(B18:AJ18)</f>
        <v>16964575</v>
      </c>
    </row>
    <row r="19" spans="1:40">
      <c r="A19" t="s">
        <v>88</v>
      </c>
      <c r="B19">
        <v>0</v>
      </c>
      <c r="C19">
        <v>0</v>
      </c>
      <c r="D19">
        <v>0</v>
      </c>
      <c r="E19" s="1">
        <v>12932402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s="1">
        <f t="shared" si="2"/>
        <v>12932402</v>
      </c>
    </row>
    <row r="20" spans="1:40">
      <c r="A20" t="s">
        <v>89</v>
      </c>
      <c r="B20" s="52">
        <f>+'[2]CUENTAS POR PAGAR VENCIDO '!L28</f>
        <v>9844270</v>
      </c>
      <c r="E20" s="1"/>
      <c r="AK20" s="1">
        <f t="shared" si="2"/>
        <v>9844270</v>
      </c>
      <c r="AM20" s="1"/>
    </row>
    <row r="21" spans="1:40">
      <c r="A21" t="s">
        <v>90</v>
      </c>
      <c r="E21" s="1"/>
      <c r="F21">
        <f>90000+95000+700000</f>
        <v>885000</v>
      </c>
      <c r="Q21">
        <v>730000</v>
      </c>
      <c r="AK21" s="1">
        <f t="shared" si="2"/>
        <v>1615000</v>
      </c>
      <c r="AL21" s="1"/>
    </row>
    <row r="22" spans="1:40">
      <c r="A22" t="s">
        <v>91</v>
      </c>
      <c r="E22" s="1"/>
      <c r="Y22">
        <f>+'[2]IMPUESTOS '!E9</f>
        <v>5007183</v>
      </c>
      <c r="AJ22">
        <v>15500000</v>
      </c>
      <c r="AK22" s="1">
        <f t="shared" si="2"/>
        <v>20507183</v>
      </c>
      <c r="AL22" s="51"/>
    </row>
    <row r="23" spans="1:40">
      <c r="A23" t="s">
        <v>92</v>
      </c>
      <c r="E23" s="1"/>
      <c r="R23">
        <v>4500000</v>
      </c>
      <c r="AK23" s="1">
        <f t="shared" si="2"/>
        <v>4500000</v>
      </c>
      <c r="AN23" s="1"/>
    </row>
    <row r="24" spans="1:40">
      <c r="A24" t="s">
        <v>93</v>
      </c>
      <c r="E24" s="1">
        <f>+'[2]HONORARIOS '!F13</f>
        <v>1690657</v>
      </c>
      <c r="AJ24">
        <f>+'[2]HONORARIOS '!F13</f>
        <v>1690657</v>
      </c>
      <c r="AK24" s="1">
        <f t="shared" si="2"/>
        <v>3381314</v>
      </c>
    </row>
    <row r="25" spans="1:40">
      <c r="A25" t="s">
        <v>94</v>
      </c>
      <c r="E25" s="1"/>
      <c r="T25">
        <v>4000000</v>
      </c>
      <c r="AK25" s="1">
        <f t="shared" si="2"/>
        <v>4000000</v>
      </c>
    </row>
    <row r="26" spans="1:40">
      <c r="A26" t="s">
        <v>95</v>
      </c>
      <c r="E26" s="1">
        <v>1000000</v>
      </c>
      <c r="AK26" s="1">
        <f t="shared" si="2"/>
        <v>1000000</v>
      </c>
    </row>
    <row r="27" spans="1:40">
      <c r="A27" t="s">
        <v>96</v>
      </c>
      <c r="E27" s="1"/>
      <c r="AC27">
        <v>1500000</v>
      </c>
      <c r="AK27" s="1">
        <f t="shared" si="2"/>
        <v>1500000</v>
      </c>
    </row>
    <row r="28" spans="1:40">
      <c r="A28" t="s">
        <v>97</v>
      </c>
      <c r="E28" s="1"/>
      <c r="AH28">
        <v>50000</v>
      </c>
      <c r="AK28" s="1">
        <f t="shared" si="2"/>
        <v>50000</v>
      </c>
    </row>
    <row r="29" spans="1:40">
      <c r="E29" s="1"/>
      <c r="AK29" s="1">
        <f t="shared" si="2"/>
        <v>0</v>
      </c>
    </row>
    <row r="30" spans="1:40">
      <c r="A30" t="s">
        <v>21</v>
      </c>
      <c r="B30" s="1">
        <f>SUM(B18:B29)</f>
        <v>11377111</v>
      </c>
      <c r="C30" s="1">
        <f t="shared" ref="C30:AJ30" si="3">SUM(C18:C29)</f>
        <v>861037</v>
      </c>
      <c r="D30" s="1">
        <f t="shared" si="3"/>
        <v>1677115</v>
      </c>
      <c r="E30" s="1">
        <f t="shared" si="3"/>
        <v>15776024</v>
      </c>
      <c r="F30" s="1">
        <f t="shared" si="3"/>
        <v>890058</v>
      </c>
      <c r="G30" s="1">
        <f t="shared" si="3"/>
        <v>1309000</v>
      </c>
      <c r="H30" s="1">
        <f t="shared" si="3"/>
        <v>0</v>
      </c>
      <c r="I30" s="1">
        <f t="shared" si="3"/>
        <v>39687</v>
      </c>
      <c r="J30" s="1">
        <f t="shared" si="3"/>
        <v>1201008</v>
      </c>
      <c r="K30" s="1">
        <f t="shared" si="3"/>
        <v>178439</v>
      </c>
      <c r="L30" s="1">
        <f t="shared" si="3"/>
        <v>2609801</v>
      </c>
      <c r="M30" s="1">
        <f t="shared" si="3"/>
        <v>0</v>
      </c>
      <c r="N30" s="1">
        <f t="shared" si="3"/>
        <v>0</v>
      </c>
      <c r="O30" s="1">
        <f t="shared" si="3"/>
        <v>0</v>
      </c>
      <c r="P30" s="1">
        <f t="shared" si="3"/>
        <v>625202</v>
      </c>
      <c r="Q30" s="1">
        <f t="shared" si="3"/>
        <v>897243</v>
      </c>
      <c r="R30" s="1">
        <f t="shared" si="3"/>
        <v>6614470</v>
      </c>
      <c r="S30" s="1">
        <f t="shared" si="3"/>
        <v>0</v>
      </c>
      <c r="T30" s="1">
        <f t="shared" si="3"/>
        <v>4000000</v>
      </c>
      <c r="U30" s="1">
        <f t="shared" si="3"/>
        <v>0</v>
      </c>
      <c r="V30" s="1">
        <f t="shared" si="3"/>
        <v>1117352</v>
      </c>
      <c r="W30" s="1">
        <f t="shared" si="3"/>
        <v>0</v>
      </c>
      <c r="X30" s="1">
        <f t="shared" si="3"/>
        <v>0</v>
      </c>
      <c r="Y30" s="1">
        <f t="shared" si="3"/>
        <v>5007183</v>
      </c>
      <c r="Z30" s="1">
        <f t="shared" si="3"/>
        <v>202883</v>
      </c>
      <c r="AA30" s="1">
        <f t="shared" si="3"/>
        <v>0</v>
      </c>
      <c r="AB30" s="1">
        <f t="shared" si="3"/>
        <v>0</v>
      </c>
      <c r="AC30" s="1">
        <f t="shared" si="3"/>
        <v>1500000</v>
      </c>
      <c r="AD30" s="1">
        <f t="shared" si="3"/>
        <v>0</v>
      </c>
      <c r="AE30" s="1">
        <f t="shared" si="3"/>
        <v>658535</v>
      </c>
      <c r="AF30" s="1">
        <f t="shared" si="3"/>
        <v>0</v>
      </c>
      <c r="AG30" s="1">
        <f t="shared" si="3"/>
        <v>1605004</v>
      </c>
      <c r="AH30" s="1">
        <f t="shared" si="3"/>
        <v>956935</v>
      </c>
      <c r="AI30" s="1">
        <f t="shared" si="3"/>
        <v>0</v>
      </c>
      <c r="AJ30" s="1">
        <f t="shared" si="3"/>
        <v>17190657</v>
      </c>
      <c r="AK30" s="1">
        <f t="shared" si="2"/>
        <v>76294744</v>
      </c>
    </row>
    <row r="31" spans="1:40">
      <c r="AK31" s="1">
        <f t="shared" si="2"/>
        <v>0</v>
      </c>
    </row>
    <row r="32" spans="1:40">
      <c r="A32" t="s">
        <v>22</v>
      </c>
      <c r="B32" s="1">
        <f>+B15-B30</f>
        <v>7343658</v>
      </c>
      <c r="C32" s="1">
        <f t="shared" ref="C32:AJ32" si="4">+C15-C30</f>
        <v>-471129</v>
      </c>
      <c r="D32" s="1">
        <f t="shared" si="4"/>
        <v>-776201</v>
      </c>
      <c r="E32" s="1">
        <f t="shared" si="4"/>
        <v>14723976</v>
      </c>
      <c r="F32" s="1">
        <f t="shared" si="4"/>
        <v>46681</v>
      </c>
      <c r="G32" s="1">
        <f t="shared" si="4"/>
        <v>-336288</v>
      </c>
      <c r="H32" s="1">
        <f t="shared" si="4"/>
        <v>1319658</v>
      </c>
      <c r="I32" s="1">
        <f t="shared" si="4"/>
        <v>986373</v>
      </c>
      <c r="J32" s="1">
        <f t="shared" si="4"/>
        <v>-433296</v>
      </c>
      <c r="K32" s="1">
        <f t="shared" si="4"/>
        <v>4986079</v>
      </c>
      <c r="L32" s="1">
        <f t="shared" si="4"/>
        <v>-1673062</v>
      </c>
      <c r="M32" s="1">
        <f t="shared" si="4"/>
        <v>936739</v>
      </c>
      <c r="N32" s="1">
        <f t="shared" si="4"/>
        <v>1678364</v>
      </c>
      <c r="O32" s="1">
        <f t="shared" si="4"/>
        <v>3235524</v>
      </c>
      <c r="P32" s="1">
        <f t="shared" si="4"/>
        <v>4920834</v>
      </c>
      <c r="Q32" s="1">
        <f t="shared" si="4"/>
        <v>-67861</v>
      </c>
      <c r="R32" s="1">
        <f t="shared" si="4"/>
        <v>-6136060</v>
      </c>
      <c r="S32" s="1">
        <f t="shared" si="4"/>
        <v>936739</v>
      </c>
      <c r="T32" s="1">
        <f t="shared" si="4"/>
        <v>-3063261</v>
      </c>
      <c r="U32" s="1">
        <f t="shared" si="4"/>
        <v>1116929</v>
      </c>
      <c r="V32" s="1">
        <f t="shared" si="4"/>
        <v>-180613</v>
      </c>
      <c r="W32" s="1">
        <f t="shared" si="4"/>
        <v>1396028</v>
      </c>
      <c r="X32" s="1">
        <f t="shared" si="4"/>
        <v>230166</v>
      </c>
      <c r="Y32" s="1">
        <f t="shared" si="4"/>
        <v>-5007183</v>
      </c>
      <c r="Z32" s="1">
        <f t="shared" si="4"/>
        <v>733856</v>
      </c>
      <c r="AA32" s="1">
        <f t="shared" si="4"/>
        <v>936739</v>
      </c>
      <c r="AB32" s="1">
        <f t="shared" si="4"/>
        <v>1049252</v>
      </c>
      <c r="AC32" s="1">
        <f t="shared" si="4"/>
        <v>87695</v>
      </c>
      <c r="AD32" s="1">
        <f t="shared" si="4"/>
        <v>1341339</v>
      </c>
      <c r="AE32" s="1">
        <f t="shared" si="4"/>
        <v>-330070</v>
      </c>
      <c r="AF32" s="1">
        <f t="shared" si="4"/>
        <v>0</v>
      </c>
      <c r="AG32" s="1">
        <f t="shared" si="4"/>
        <v>-668265</v>
      </c>
      <c r="AH32" s="1">
        <f t="shared" si="4"/>
        <v>-20196</v>
      </c>
      <c r="AI32" s="1">
        <f t="shared" si="4"/>
        <v>936739</v>
      </c>
      <c r="AJ32" s="1">
        <f t="shared" si="4"/>
        <v>-16253918</v>
      </c>
      <c r="AK32" s="53">
        <f t="shared" si="2"/>
        <v>13525965</v>
      </c>
    </row>
    <row r="34" spans="1:36">
      <c r="A34" t="s">
        <v>23</v>
      </c>
      <c r="B34" s="1">
        <f>+B32</f>
        <v>7343658</v>
      </c>
      <c r="C34" s="1">
        <f>+B34+C32</f>
        <v>6872529</v>
      </c>
      <c r="D34" s="1">
        <f t="shared" ref="D34:AJ34" si="5">+C34+D32</f>
        <v>6096328</v>
      </c>
      <c r="E34" s="1">
        <f t="shared" si="5"/>
        <v>20820304</v>
      </c>
      <c r="F34" s="1">
        <f t="shared" si="5"/>
        <v>20866985</v>
      </c>
      <c r="G34" s="1">
        <f t="shared" si="5"/>
        <v>20530697</v>
      </c>
      <c r="H34" s="1">
        <f t="shared" si="5"/>
        <v>21850355</v>
      </c>
      <c r="I34" s="1">
        <f t="shared" si="5"/>
        <v>22836728</v>
      </c>
      <c r="J34" s="1">
        <f t="shared" si="5"/>
        <v>22403432</v>
      </c>
      <c r="K34" s="1">
        <f t="shared" si="5"/>
        <v>27389511</v>
      </c>
      <c r="L34" s="1">
        <f t="shared" si="5"/>
        <v>25716449</v>
      </c>
      <c r="M34" s="1">
        <f t="shared" si="5"/>
        <v>26653188</v>
      </c>
      <c r="N34" s="1">
        <f t="shared" si="5"/>
        <v>28331552</v>
      </c>
      <c r="O34" s="1">
        <f t="shared" si="5"/>
        <v>31567076</v>
      </c>
      <c r="P34" s="1">
        <f t="shared" si="5"/>
        <v>36487910</v>
      </c>
      <c r="Q34" s="1">
        <f t="shared" si="5"/>
        <v>36420049</v>
      </c>
      <c r="R34" s="1">
        <f t="shared" si="5"/>
        <v>30283989</v>
      </c>
      <c r="S34" s="1">
        <f t="shared" si="5"/>
        <v>31220728</v>
      </c>
      <c r="T34" s="1">
        <f t="shared" si="5"/>
        <v>28157467</v>
      </c>
      <c r="U34" s="1">
        <f t="shared" si="5"/>
        <v>29274396</v>
      </c>
      <c r="V34" s="1">
        <f t="shared" si="5"/>
        <v>29093783</v>
      </c>
      <c r="W34" s="1">
        <f t="shared" si="5"/>
        <v>30489811</v>
      </c>
      <c r="X34" s="1">
        <f t="shared" si="5"/>
        <v>30719977</v>
      </c>
      <c r="Y34" s="1">
        <f t="shared" si="5"/>
        <v>25712794</v>
      </c>
      <c r="Z34" s="1">
        <f t="shared" si="5"/>
        <v>26446650</v>
      </c>
      <c r="AA34" s="1">
        <f t="shared" si="5"/>
        <v>27383389</v>
      </c>
      <c r="AB34" s="1">
        <f t="shared" si="5"/>
        <v>28432641</v>
      </c>
      <c r="AC34" s="1">
        <f t="shared" si="5"/>
        <v>28520336</v>
      </c>
      <c r="AD34" s="1">
        <f t="shared" si="5"/>
        <v>29861675</v>
      </c>
      <c r="AE34" s="1">
        <f t="shared" si="5"/>
        <v>29531605</v>
      </c>
      <c r="AF34" s="1">
        <f t="shared" si="5"/>
        <v>29531605</v>
      </c>
      <c r="AG34" s="1">
        <f t="shared" si="5"/>
        <v>28863340</v>
      </c>
      <c r="AH34" s="1">
        <f t="shared" si="5"/>
        <v>28843144</v>
      </c>
      <c r="AI34" s="1">
        <f t="shared" si="5"/>
        <v>29779883</v>
      </c>
      <c r="AJ34" s="53">
        <f t="shared" si="5"/>
        <v>13525965</v>
      </c>
    </row>
  </sheetData>
  <hyperlinks>
    <hyperlink ref="B20" location="'CUENTAS POR PAGAR VENCIDO '!A1" display="'CUENTAS POR PAGAR VENCIDO '!A1" xr:uid="{16ECAC80-1A31-47A4-85A5-2304A819292A}"/>
    <hyperlink ref="B10" location="'por cobrar vencido'!A1" display="'por cobrar vencido'!A1" xr:uid="{A2254135-4DBF-46F5-B5E2-A70747250FA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F724-EC98-4B66-9161-07726BF0F20E}">
  <sheetPr>
    <tabColor rgb="FFFF0000"/>
  </sheetPr>
  <dimension ref="A1:R86"/>
  <sheetViews>
    <sheetView workbookViewId="0">
      <pane xSplit="5" ySplit="1" topLeftCell="O71" activePane="bottomRight" state="frozen"/>
      <selection pane="topRight" activeCell="F1" sqref="F1"/>
      <selection pane="bottomLeft" activeCell="A2" sqref="A2"/>
      <selection pane="bottomRight" activeCell="R84" sqref="R84"/>
    </sheetView>
  </sheetViews>
  <sheetFormatPr baseColWidth="10" defaultRowHeight="15.6"/>
  <cols>
    <col min="3" max="3" width="12.59765625" customWidth="1"/>
    <col min="5" max="5" width="55.5" customWidth="1"/>
    <col min="7" max="7" width="15.296875" customWidth="1"/>
    <col min="8" max="8" width="23.19921875" customWidth="1"/>
    <col min="9" max="9" width="19" customWidth="1"/>
    <col min="14" max="14" width="31.09765625" customWidth="1"/>
    <col min="15" max="15" width="16" style="3" customWidth="1"/>
  </cols>
  <sheetData>
    <row r="1" spans="1:16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s="3" t="s">
        <v>201</v>
      </c>
      <c r="P1" t="s">
        <v>266</v>
      </c>
    </row>
    <row r="2" spans="1:16">
      <c r="A2">
        <v>1</v>
      </c>
      <c r="B2">
        <v>33</v>
      </c>
      <c r="C2" t="s">
        <v>202</v>
      </c>
      <c r="D2" t="s">
        <v>203</v>
      </c>
      <c r="E2" t="s">
        <v>204</v>
      </c>
      <c r="F2">
        <v>210329</v>
      </c>
      <c r="G2" s="97">
        <v>45776</v>
      </c>
      <c r="H2" s="98">
        <v>45776.487476851849</v>
      </c>
      <c r="J2">
        <v>0</v>
      </c>
      <c r="K2">
        <v>11320</v>
      </c>
      <c r="L2">
        <v>2151</v>
      </c>
      <c r="O2" s="3">
        <v>13471</v>
      </c>
      <c r="P2" t="s">
        <v>267</v>
      </c>
    </row>
    <row r="3" spans="1:16">
      <c r="A3">
        <v>2</v>
      </c>
      <c r="B3">
        <v>33</v>
      </c>
      <c r="C3" t="s">
        <v>202</v>
      </c>
      <c r="D3" t="s">
        <v>205</v>
      </c>
      <c r="E3" t="s">
        <v>206</v>
      </c>
      <c r="F3">
        <v>880</v>
      </c>
      <c r="G3" s="97">
        <v>45776</v>
      </c>
      <c r="H3" s="98">
        <v>45776.712129629632</v>
      </c>
      <c r="J3">
        <v>0</v>
      </c>
      <c r="K3">
        <v>1134164</v>
      </c>
      <c r="L3">
        <v>215491</v>
      </c>
      <c r="O3" s="3">
        <v>1349655</v>
      </c>
      <c r="P3" t="s">
        <v>268</v>
      </c>
    </row>
    <row r="4" spans="1:16">
      <c r="A4">
        <v>3</v>
      </c>
      <c r="B4">
        <v>33</v>
      </c>
      <c r="C4" t="s">
        <v>202</v>
      </c>
      <c r="D4" t="s">
        <v>207</v>
      </c>
      <c r="E4" t="s">
        <v>208</v>
      </c>
      <c r="F4">
        <v>13801417</v>
      </c>
      <c r="G4" s="97">
        <v>45776</v>
      </c>
      <c r="H4" s="98">
        <v>45776.784837962965</v>
      </c>
      <c r="J4">
        <v>0</v>
      </c>
      <c r="K4">
        <v>12307</v>
      </c>
      <c r="L4">
        <v>2338</v>
      </c>
      <c r="O4" s="3">
        <v>14645</v>
      </c>
      <c r="P4" t="s">
        <v>267</v>
      </c>
    </row>
    <row r="5" spans="1:16">
      <c r="A5">
        <v>4</v>
      </c>
      <c r="B5">
        <v>33</v>
      </c>
      <c r="C5" t="s">
        <v>202</v>
      </c>
      <c r="D5" t="s">
        <v>203</v>
      </c>
      <c r="E5" t="s">
        <v>204</v>
      </c>
      <c r="F5">
        <v>210410</v>
      </c>
      <c r="G5" s="97">
        <v>45777</v>
      </c>
      <c r="H5" s="98">
        <v>45777.529166666667</v>
      </c>
      <c r="J5">
        <v>0</v>
      </c>
      <c r="K5">
        <v>262800</v>
      </c>
      <c r="L5">
        <v>49932</v>
      </c>
      <c r="O5" s="3">
        <v>312732</v>
      </c>
      <c r="P5" t="s">
        <v>267</v>
      </c>
    </row>
    <row r="6" spans="1:16">
      <c r="A6">
        <v>5</v>
      </c>
      <c r="B6">
        <v>33</v>
      </c>
      <c r="C6" t="s">
        <v>202</v>
      </c>
      <c r="D6" t="s">
        <v>203</v>
      </c>
      <c r="E6" t="s">
        <v>204</v>
      </c>
      <c r="F6">
        <v>210482</v>
      </c>
      <c r="G6" s="97">
        <v>45777</v>
      </c>
      <c r="H6" s="98">
        <v>45777.598611111112</v>
      </c>
      <c r="J6">
        <v>0</v>
      </c>
      <c r="K6">
        <v>825940</v>
      </c>
      <c r="L6">
        <v>156929</v>
      </c>
      <c r="O6" s="3">
        <v>982869</v>
      </c>
      <c r="P6" t="s">
        <v>267</v>
      </c>
    </row>
    <row r="7" spans="1:16">
      <c r="A7">
        <v>6</v>
      </c>
      <c r="B7">
        <v>33</v>
      </c>
      <c r="C7" t="s">
        <v>202</v>
      </c>
      <c r="D7" t="s">
        <v>203</v>
      </c>
      <c r="E7" t="s">
        <v>204</v>
      </c>
      <c r="F7">
        <v>210547</v>
      </c>
      <c r="G7" s="97">
        <v>45777</v>
      </c>
      <c r="H7" s="98">
        <v>45777.681967592594</v>
      </c>
      <c r="J7">
        <v>0</v>
      </c>
      <c r="K7">
        <v>4400</v>
      </c>
      <c r="L7">
        <v>836</v>
      </c>
      <c r="O7" s="3">
        <v>5236</v>
      </c>
      <c r="P7" t="s">
        <v>267</v>
      </c>
    </row>
    <row r="8" spans="1:16">
      <c r="A8">
        <v>7</v>
      </c>
      <c r="B8">
        <v>33</v>
      </c>
      <c r="C8" t="s">
        <v>202</v>
      </c>
      <c r="D8" t="s">
        <v>209</v>
      </c>
      <c r="E8" t="s">
        <v>210</v>
      </c>
      <c r="F8">
        <v>72495</v>
      </c>
      <c r="G8" s="97">
        <v>45777</v>
      </c>
      <c r="H8" s="98">
        <v>45777.68372685185</v>
      </c>
      <c r="J8">
        <v>0</v>
      </c>
      <c r="K8">
        <v>337536</v>
      </c>
      <c r="L8">
        <v>64132</v>
      </c>
      <c r="O8" s="3">
        <v>401668</v>
      </c>
      <c r="P8" t="s">
        <v>267</v>
      </c>
    </row>
    <row r="9" spans="1:16">
      <c r="A9">
        <v>8</v>
      </c>
      <c r="B9">
        <v>33</v>
      </c>
      <c r="C9" t="s">
        <v>202</v>
      </c>
      <c r="D9" t="s">
        <v>211</v>
      </c>
      <c r="E9" t="s">
        <v>212</v>
      </c>
      <c r="F9">
        <v>3853887</v>
      </c>
      <c r="G9" s="97">
        <v>45777</v>
      </c>
      <c r="H9" s="98">
        <v>45778.529340277775</v>
      </c>
      <c r="J9">
        <v>0</v>
      </c>
      <c r="K9">
        <v>97689</v>
      </c>
      <c r="L9">
        <v>18561</v>
      </c>
      <c r="O9" s="3">
        <v>116250</v>
      </c>
      <c r="P9" t="s">
        <v>268</v>
      </c>
    </row>
    <row r="10" spans="1:16">
      <c r="A10">
        <v>9</v>
      </c>
      <c r="B10">
        <v>33</v>
      </c>
      <c r="C10" t="s">
        <v>202</v>
      </c>
      <c r="D10" t="s">
        <v>213</v>
      </c>
      <c r="E10" t="s">
        <v>214</v>
      </c>
      <c r="F10">
        <v>43482960</v>
      </c>
      <c r="G10" s="97">
        <v>45775</v>
      </c>
      <c r="H10" s="98">
        <v>45778.579606481479</v>
      </c>
      <c r="J10">
        <v>0</v>
      </c>
      <c r="K10">
        <v>39062</v>
      </c>
      <c r="L10">
        <v>7422</v>
      </c>
      <c r="O10" s="99">
        <v>46484</v>
      </c>
      <c r="P10" t="s">
        <v>268</v>
      </c>
    </row>
    <row r="11" spans="1:16">
      <c r="A11">
        <v>10</v>
      </c>
      <c r="B11">
        <v>33</v>
      </c>
      <c r="C11" t="s">
        <v>202</v>
      </c>
      <c r="D11" t="s">
        <v>203</v>
      </c>
      <c r="E11" t="s">
        <v>204</v>
      </c>
      <c r="F11">
        <v>210553</v>
      </c>
      <c r="G11" s="97">
        <v>45779</v>
      </c>
      <c r="H11" s="98">
        <v>45779.378136574072</v>
      </c>
      <c r="J11">
        <v>0</v>
      </c>
      <c r="K11">
        <v>4250</v>
      </c>
      <c r="L11">
        <v>808</v>
      </c>
      <c r="O11" s="3">
        <v>5058</v>
      </c>
      <c r="P11" t="s">
        <v>267</v>
      </c>
    </row>
    <row r="12" spans="1:16">
      <c r="A12">
        <v>11</v>
      </c>
      <c r="B12">
        <v>33</v>
      </c>
      <c r="C12" t="s">
        <v>202</v>
      </c>
      <c r="D12" t="s">
        <v>215</v>
      </c>
      <c r="E12" t="s">
        <v>216</v>
      </c>
      <c r="F12">
        <v>206463</v>
      </c>
      <c r="G12" s="97">
        <v>45777</v>
      </c>
      <c r="H12" s="98">
        <v>45779.812407407408</v>
      </c>
      <c r="J12">
        <v>0</v>
      </c>
      <c r="K12">
        <v>30479</v>
      </c>
      <c r="L12">
        <v>5791</v>
      </c>
      <c r="O12" s="3">
        <v>36270</v>
      </c>
      <c r="P12" t="s">
        <v>268</v>
      </c>
    </row>
    <row r="13" spans="1:16">
      <c r="A13">
        <v>12</v>
      </c>
      <c r="B13">
        <v>33</v>
      </c>
      <c r="C13" t="s">
        <v>202</v>
      </c>
      <c r="D13" t="s">
        <v>217</v>
      </c>
      <c r="E13" t="s">
        <v>218</v>
      </c>
      <c r="F13">
        <v>3111</v>
      </c>
      <c r="G13" s="97">
        <v>45780</v>
      </c>
      <c r="H13" s="98">
        <v>45780.919571759259</v>
      </c>
      <c r="J13">
        <v>0</v>
      </c>
      <c r="K13">
        <v>62552</v>
      </c>
      <c r="L13">
        <v>11885</v>
      </c>
      <c r="O13" s="3">
        <v>74437</v>
      </c>
      <c r="P13" t="s">
        <v>268</v>
      </c>
    </row>
    <row r="14" spans="1:16">
      <c r="A14">
        <v>13</v>
      </c>
      <c r="B14">
        <v>33</v>
      </c>
      <c r="C14" t="s">
        <v>202</v>
      </c>
      <c r="D14" t="s">
        <v>219</v>
      </c>
      <c r="E14" t="s">
        <v>220</v>
      </c>
      <c r="F14">
        <v>537</v>
      </c>
      <c r="G14" s="97">
        <v>45782</v>
      </c>
      <c r="H14" s="98">
        <v>45782.389699074076</v>
      </c>
      <c r="J14">
        <v>0</v>
      </c>
      <c r="K14">
        <v>17647</v>
      </c>
      <c r="L14">
        <v>3353</v>
      </c>
      <c r="O14" s="3">
        <v>21000</v>
      </c>
      <c r="P14" t="s">
        <v>268</v>
      </c>
    </row>
    <row r="15" spans="1:16">
      <c r="A15">
        <v>14</v>
      </c>
      <c r="B15">
        <v>33</v>
      </c>
      <c r="C15" t="s">
        <v>202</v>
      </c>
      <c r="D15" t="s">
        <v>221</v>
      </c>
      <c r="E15" t="s">
        <v>222</v>
      </c>
      <c r="F15">
        <v>25251</v>
      </c>
      <c r="G15" s="97">
        <v>45782</v>
      </c>
      <c r="H15" s="98">
        <v>45782.504120370373</v>
      </c>
      <c r="J15">
        <v>0</v>
      </c>
      <c r="K15">
        <v>127614</v>
      </c>
      <c r="L15">
        <v>24247</v>
      </c>
      <c r="O15" s="3">
        <v>151861</v>
      </c>
      <c r="P15" t="s">
        <v>267</v>
      </c>
    </row>
    <row r="16" spans="1:16">
      <c r="A16">
        <v>15</v>
      </c>
      <c r="B16">
        <v>33</v>
      </c>
      <c r="C16" t="s">
        <v>202</v>
      </c>
      <c r="D16" t="s">
        <v>223</v>
      </c>
      <c r="E16" t="s">
        <v>224</v>
      </c>
      <c r="F16">
        <v>45</v>
      </c>
      <c r="G16" s="97">
        <v>45779</v>
      </c>
      <c r="H16" s="98">
        <v>45783.470671296294</v>
      </c>
      <c r="J16">
        <v>0</v>
      </c>
      <c r="K16">
        <v>195377</v>
      </c>
      <c r="L16">
        <v>37122</v>
      </c>
      <c r="O16" s="3">
        <v>232499</v>
      </c>
      <c r="P16" t="s">
        <v>268</v>
      </c>
    </row>
    <row r="17" spans="1:16">
      <c r="A17">
        <v>16</v>
      </c>
      <c r="B17">
        <v>33</v>
      </c>
      <c r="C17" t="s">
        <v>202</v>
      </c>
      <c r="D17" t="s">
        <v>203</v>
      </c>
      <c r="E17" t="s">
        <v>204</v>
      </c>
      <c r="F17">
        <v>210638</v>
      </c>
      <c r="G17" s="97">
        <v>45783</v>
      </c>
      <c r="H17" s="98">
        <v>45783.572743055556</v>
      </c>
      <c r="J17">
        <v>0</v>
      </c>
      <c r="K17">
        <v>291500</v>
      </c>
      <c r="L17">
        <v>55385</v>
      </c>
      <c r="O17" s="3">
        <v>346885</v>
      </c>
      <c r="P17" t="s">
        <v>267</v>
      </c>
    </row>
    <row r="18" spans="1:16">
      <c r="A18">
        <v>17</v>
      </c>
      <c r="B18">
        <v>33</v>
      </c>
      <c r="C18" t="s">
        <v>202</v>
      </c>
      <c r="D18" t="s">
        <v>213</v>
      </c>
      <c r="E18" t="s">
        <v>214</v>
      </c>
      <c r="F18">
        <v>43530023</v>
      </c>
      <c r="G18" s="97">
        <v>45762</v>
      </c>
      <c r="H18" s="98">
        <v>45783.78806712963</v>
      </c>
      <c r="J18">
        <v>0</v>
      </c>
      <c r="K18">
        <v>12835</v>
      </c>
      <c r="L18">
        <v>2439</v>
      </c>
      <c r="O18" s="99">
        <v>15274</v>
      </c>
      <c r="P18" t="s">
        <v>268</v>
      </c>
    </row>
    <row r="19" spans="1:16">
      <c r="A19">
        <v>18</v>
      </c>
      <c r="B19">
        <v>33</v>
      </c>
      <c r="C19" t="s">
        <v>202</v>
      </c>
      <c r="D19" t="s">
        <v>225</v>
      </c>
      <c r="E19" t="s">
        <v>226</v>
      </c>
      <c r="F19">
        <v>25910</v>
      </c>
      <c r="G19" s="97">
        <v>45783</v>
      </c>
      <c r="H19" s="98">
        <v>45783.795844907407</v>
      </c>
      <c r="J19">
        <v>0</v>
      </c>
      <c r="K19">
        <v>1000000</v>
      </c>
      <c r="L19">
        <v>190000</v>
      </c>
      <c r="O19" s="3">
        <v>1190000</v>
      </c>
      <c r="P19" t="s">
        <v>268</v>
      </c>
    </row>
    <row r="20" spans="1:16">
      <c r="A20">
        <v>19</v>
      </c>
      <c r="B20">
        <v>33</v>
      </c>
      <c r="C20" t="s">
        <v>202</v>
      </c>
      <c r="D20" t="s">
        <v>227</v>
      </c>
      <c r="E20" t="s">
        <v>228</v>
      </c>
      <c r="F20">
        <v>15269436</v>
      </c>
      <c r="G20" s="97">
        <v>45782</v>
      </c>
      <c r="H20" s="98">
        <v>45783.969155092593</v>
      </c>
      <c r="J20">
        <v>0</v>
      </c>
      <c r="K20">
        <v>58662</v>
      </c>
      <c r="L20">
        <v>11146</v>
      </c>
      <c r="O20" s="99">
        <v>69808</v>
      </c>
      <c r="P20" t="s">
        <v>268</v>
      </c>
    </row>
    <row r="21" spans="1:16">
      <c r="A21">
        <v>20</v>
      </c>
      <c r="B21">
        <v>33</v>
      </c>
      <c r="C21" t="s">
        <v>202</v>
      </c>
      <c r="D21" t="s">
        <v>209</v>
      </c>
      <c r="E21" t="s">
        <v>210</v>
      </c>
      <c r="F21">
        <v>72588</v>
      </c>
      <c r="G21" s="97">
        <v>45783</v>
      </c>
      <c r="H21" s="98">
        <v>45784.380567129629</v>
      </c>
      <c r="J21">
        <v>0</v>
      </c>
      <c r="K21">
        <v>73250</v>
      </c>
      <c r="L21">
        <v>13918</v>
      </c>
      <c r="O21" s="3">
        <v>87168</v>
      </c>
      <c r="P21" t="s">
        <v>267</v>
      </c>
    </row>
    <row r="22" spans="1:16">
      <c r="A22">
        <v>21</v>
      </c>
      <c r="B22">
        <v>33</v>
      </c>
      <c r="C22" t="s">
        <v>202</v>
      </c>
      <c r="D22" t="s">
        <v>209</v>
      </c>
      <c r="E22" t="s">
        <v>210</v>
      </c>
      <c r="F22">
        <v>72626</v>
      </c>
      <c r="G22" s="97">
        <v>45783</v>
      </c>
      <c r="H22" s="98">
        <v>45784.38071759259</v>
      </c>
      <c r="J22">
        <v>0</v>
      </c>
      <c r="K22">
        <v>2579053</v>
      </c>
      <c r="L22">
        <v>490020</v>
      </c>
      <c r="O22" s="3">
        <v>3069073</v>
      </c>
      <c r="P22" t="s">
        <v>267</v>
      </c>
    </row>
    <row r="23" spans="1:16">
      <c r="A23">
        <v>22</v>
      </c>
      <c r="B23">
        <v>33</v>
      </c>
      <c r="C23" t="s">
        <v>202</v>
      </c>
      <c r="D23" t="s">
        <v>213</v>
      </c>
      <c r="E23" t="s">
        <v>214</v>
      </c>
      <c r="F23">
        <v>43626578</v>
      </c>
      <c r="G23" s="97">
        <v>45783</v>
      </c>
      <c r="H23" s="98">
        <v>45784.380844907406</v>
      </c>
      <c r="J23">
        <v>0</v>
      </c>
      <c r="K23">
        <v>6291</v>
      </c>
      <c r="L23">
        <v>1195</v>
      </c>
      <c r="O23" s="99">
        <v>7486</v>
      </c>
      <c r="P23" t="s">
        <v>268</v>
      </c>
    </row>
    <row r="24" spans="1:16">
      <c r="A24">
        <v>23</v>
      </c>
      <c r="B24">
        <v>33</v>
      </c>
      <c r="C24" t="s">
        <v>202</v>
      </c>
      <c r="D24" t="s">
        <v>213</v>
      </c>
      <c r="E24" t="s">
        <v>214</v>
      </c>
      <c r="F24">
        <v>43626579</v>
      </c>
      <c r="G24" s="97">
        <v>45783</v>
      </c>
      <c r="H24" s="98">
        <v>45784.380844907406</v>
      </c>
      <c r="J24">
        <v>0</v>
      </c>
      <c r="K24">
        <v>8440</v>
      </c>
      <c r="L24">
        <v>1604</v>
      </c>
      <c r="O24" s="99">
        <v>10044</v>
      </c>
      <c r="P24" t="s">
        <v>268</v>
      </c>
    </row>
    <row r="25" spans="1:16">
      <c r="A25">
        <v>24</v>
      </c>
      <c r="B25">
        <v>33</v>
      </c>
      <c r="C25" t="s">
        <v>202</v>
      </c>
      <c r="D25" t="s">
        <v>203</v>
      </c>
      <c r="E25" t="s">
        <v>204</v>
      </c>
      <c r="F25">
        <v>210687</v>
      </c>
      <c r="G25" s="97">
        <v>45784</v>
      </c>
      <c r="H25" s="98">
        <v>45784.503136574072</v>
      </c>
      <c r="J25">
        <v>0</v>
      </c>
      <c r="K25">
        <v>803160</v>
      </c>
      <c r="L25">
        <v>152600</v>
      </c>
      <c r="O25" s="3">
        <v>955760</v>
      </c>
      <c r="P25" t="s">
        <v>267</v>
      </c>
    </row>
    <row r="26" spans="1:16">
      <c r="A26">
        <v>25</v>
      </c>
      <c r="B26">
        <v>33</v>
      </c>
      <c r="C26" t="s">
        <v>202</v>
      </c>
      <c r="D26" t="s">
        <v>229</v>
      </c>
      <c r="E26" t="s">
        <v>230</v>
      </c>
      <c r="F26">
        <v>2405</v>
      </c>
      <c r="G26" s="97">
        <v>45784</v>
      </c>
      <c r="H26" s="98">
        <v>45784.557245370372</v>
      </c>
      <c r="J26">
        <v>0</v>
      </c>
      <c r="K26">
        <v>50292</v>
      </c>
      <c r="L26">
        <v>9555</v>
      </c>
      <c r="O26" s="3">
        <v>59847</v>
      </c>
      <c r="P26" t="s">
        <v>267</v>
      </c>
    </row>
    <row r="27" spans="1:16">
      <c r="A27">
        <v>26</v>
      </c>
      <c r="B27">
        <v>33</v>
      </c>
      <c r="C27" t="s">
        <v>202</v>
      </c>
      <c r="D27" t="s">
        <v>209</v>
      </c>
      <c r="E27" t="s">
        <v>210</v>
      </c>
      <c r="F27">
        <v>72629</v>
      </c>
      <c r="G27" s="97">
        <v>45784</v>
      </c>
      <c r="H27" s="98">
        <v>45785.415983796294</v>
      </c>
      <c r="I27" s="98">
        <v>45793.380613425928</v>
      </c>
      <c r="J27">
        <v>0</v>
      </c>
      <c r="K27">
        <v>1032473</v>
      </c>
      <c r="L27">
        <v>196170</v>
      </c>
      <c r="O27" s="3">
        <v>1228643</v>
      </c>
      <c r="P27" t="s">
        <v>267</v>
      </c>
    </row>
    <row r="28" spans="1:16">
      <c r="A28">
        <v>27</v>
      </c>
      <c r="B28">
        <v>33</v>
      </c>
      <c r="C28" t="s">
        <v>202</v>
      </c>
      <c r="D28" t="s">
        <v>209</v>
      </c>
      <c r="E28" t="s">
        <v>210</v>
      </c>
      <c r="F28">
        <v>72627</v>
      </c>
      <c r="G28" s="97">
        <v>45784</v>
      </c>
      <c r="H28" s="98">
        <v>45785.415983796294</v>
      </c>
      <c r="I28" s="98">
        <v>45793.380613425928</v>
      </c>
      <c r="J28">
        <v>0</v>
      </c>
      <c r="K28">
        <v>367155</v>
      </c>
      <c r="L28">
        <v>69759</v>
      </c>
      <c r="O28" s="3">
        <v>436914</v>
      </c>
      <c r="P28" t="s">
        <v>267</v>
      </c>
    </row>
    <row r="29" spans="1:16">
      <c r="A29">
        <v>28</v>
      </c>
      <c r="B29">
        <v>33</v>
      </c>
      <c r="C29" t="s">
        <v>202</v>
      </c>
      <c r="D29" t="s">
        <v>203</v>
      </c>
      <c r="E29" t="s">
        <v>204</v>
      </c>
      <c r="F29">
        <v>210760</v>
      </c>
      <c r="G29" s="97">
        <v>45785</v>
      </c>
      <c r="H29" s="98">
        <v>45785.5153587963</v>
      </c>
      <c r="I29" s="98">
        <v>45793.380613425928</v>
      </c>
      <c r="J29">
        <v>0</v>
      </c>
      <c r="K29">
        <v>1334000</v>
      </c>
      <c r="L29">
        <v>253460</v>
      </c>
      <c r="O29" s="3">
        <v>1587460</v>
      </c>
      <c r="P29" t="s">
        <v>267</v>
      </c>
    </row>
    <row r="30" spans="1:16">
      <c r="A30">
        <v>29</v>
      </c>
      <c r="B30">
        <v>33</v>
      </c>
      <c r="C30" t="s">
        <v>202</v>
      </c>
      <c r="D30" t="s">
        <v>231</v>
      </c>
      <c r="E30" t="s">
        <v>232</v>
      </c>
      <c r="F30">
        <v>62781</v>
      </c>
      <c r="G30" s="97">
        <v>45785</v>
      </c>
      <c r="H30" s="98">
        <v>45785.537812499999</v>
      </c>
      <c r="I30" s="98">
        <v>45793.380613425928</v>
      </c>
      <c r="J30">
        <v>0</v>
      </c>
      <c r="K30">
        <v>149527</v>
      </c>
      <c r="L30">
        <v>28410</v>
      </c>
      <c r="O30" s="3">
        <v>177937</v>
      </c>
      <c r="P30" t="s">
        <v>268</v>
      </c>
    </row>
    <row r="31" spans="1:16">
      <c r="A31">
        <v>30</v>
      </c>
      <c r="B31">
        <v>33</v>
      </c>
      <c r="C31" t="s">
        <v>202</v>
      </c>
      <c r="D31" t="s">
        <v>233</v>
      </c>
      <c r="E31" t="s">
        <v>234</v>
      </c>
      <c r="F31">
        <v>318</v>
      </c>
      <c r="G31" s="97">
        <v>45785</v>
      </c>
      <c r="H31" s="98">
        <v>45785.711817129632</v>
      </c>
      <c r="J31">
        <v>0</v>
      </c>
      <c r="K31">
        <v>600000</v>
      </c>
      <c r="L31">
        <v>114000</v>
      </c>
      <c r="O31" s="3">
        <v>714000</v>
      </c>
      <c r="P31" t="s">
        <v>267</v>
      </c>
    </row>
    <row r="32" spans="1:16">
      <c r="A32">
        <v>31</v>
      </c>
      <c r="B32">
        <v>33</v>
      </c>
      <c r="C32" t="s">
        <v>202</v>
      </c>
      <c r="D32" t="s">
        <v>235</v>
      </c>
      <c r="E32" t="s">
        <v>236</v>
      </c>
      <c r="F32">
        <v>1498116</v>
      </c>
      <c r="G32" s="97">
        <v>45786</v>
      </c>
      <c r="H32" s="98">
        <v>45786.723217592589</v>
      </c>
      <c r="I32" s="98">
        <v>45793.380601851852</v>
      </c>
      <c r="J32">
        <v>0</v>
      </c>
      <c r="K32">
        <v>65290</v>
      </c>
      <c r="L32">
        <v>12405</v>
      </c>
      <c r="O32" s="3">
        <v>77695</v>
      </c>
      <c r="P32" t="s">
        <v>267</v>
      </c>
    </row>
    <row r="33" spans="1:16">
      <c r="A33">
        <v>32</v>
      </c>
      <c r="B33">
        <v>33</v>
      </c>
      <c r="C33" t="s">
        <v>202</v>
      </c>
      <c r="D33" t="s">
        <v>237</v>
      </c>
      <c r="E33" t="s">
        <v>238</v>
      </c>
      <c r="F33">
        <v>3512552</v>
      </c>
      <c r="G33" s="97">
        <v>45787</v>
      </c>
      <c r="H33" s="98">
        <v>45787.51871527778</v>
      </c>
      <c r="I33" s="98">
        <v>45793.380601851852</v>
      </c>
      <c r="J33">
        <v>0</v>
      </c>
      <c r="K33">
        <v>6722</v>
      </c>
      <c r="L33">
        <v>1277</v>
      </c>
      <c r="O33" s="3">
        <v>7999</v>
      </c>
      <c r="P33" t="s">
        <v>267</v>
      </c>
    </row>
    <row r="34" spans="1:16">
      <c r="A34">
        <v>33</v>
      </c>
      <c r="B34">
        <v>33</v>
      </c>
      <c r="C34" t="s">
        <v>202</v>
      </c>
      <c r="D34" t="s">
        <v>239</v>
      </c>
      <c r="E34" t="s">
        <v>240</v>
      </c>
      <c r="F34">
        <v>15021</v>
      </c>
      <c r="G34" s="97">
        <v>45789</v>
      </c>
      <c r="H34" s="98">
        <v>45789.389606481483</v>
      </c>
      <c r="J34">
        <v>0</v>
      </c>
      <c r="K34">
        <v>609425</v>
      </c>
      <c r="L34">
        <v>115791</v>
      </c>
      <c r="O34" s="100">
        <v>725216</v>
      </c>
      <c r="P34" t="s">
        <v>268</v>
      </c>
    </row>
    <row r="35" spans="1:16">
      <c r="A35">
        <v>34</v>
      </c>
      <c r="B35">
        <v>33</v>
      </c>
      <c r="C35" t="s">
        <v>202</v>
      </c>
      <c r="D35" t="s">
        <v>203</v>
      </c>
      <c r="E35" t="s">
        <v>204</v>
      </c>
      <c r="F35">
        <v>210882</v>
      </c>
      <c r="G35" s="97">
        <v>45789</v>
      </c>
      <c r="H35" s="98">
        <v>45789.390439814815</v>
      </c>
      <c r="I35" s="98">
        <v>45793.380601851852</v>
      </c>
      <c r="J35">
        <v>0</v>
      </c>
      <c r="K35">
        <v>547280</v>
      </c>
      <c r="L35">
        <v>103983</v>
      </c>
      <c r="O35" s="3">
        <v>651263</v>
      </c>
      <c r="P35" t="s">
        <v>267</v>
      </c>
    </row>
    <row r="36" spans="1:16">
      <c r="A36">
        <v>35</v>
      </c>
      <c r="B36">
        <v>33</v>
      </c>
      <c r="C36" t="s">
        <v>202</v>
      </c>
      <c r="D36" t="s">
        <v>203</v>
      </c>
      <c r="E36" t="s">
        <v>204</v>
      </c>
      <c r="F36">
        <v>210936</v>
      </c>
      <c r="G36" s="97">
        <v>45790</v>
      </c>
      <c r="H36" s="98">
        <v>45790.473761574074</v>
      </c>
      <c r="I36" s="98">
        <v>45793.380601851852</v>
      </c>
      <c r="J36">
        <v>0</v>
      </c>
      <c r="K36">
        <v>41900</v>
      </c>
      <c r="L36">
        <v>7961</v>
      </c>
      <c r="O36" s="3">
        <v>49861</v>
      </c>
      <c r="P36" t="s">
        <v>267</v>
      </c>
    </row>
    <row r="37" spans="1:16">
      <c r="A37">
        <v>36</v>
      </c>
      <c r="B37">
        <v>33</v>
      </c>
      <c r="C37" t="s">
        <v>202</v>
      </c>
      <c r="D37" t="s">
        <v>241</v>
      </c>
      <c r="E37" t="s">
        <v>242</v>
      </c>
      <c r="F37">
        <v>27166</v>
      </c>
      <c r="G37" s="97">
        <v>45790</v>
      </c>
      <c r="H37" s="98">
        <v>45790.500277777777</v>
      </c>
      <c r="J37">
        <v>12500</v>
      </c>
      <c r="K37">
        <v>65126</v>
      </c>
      <c r="L37">
        <v>12374</v>
      </c>
      <c r="O37" s="100">
        <v>90000</v>
      </c>
      <c r="P37" t="s">
        <v>268</v>
      </c>
    </row>
    <row r="38" spans="1:16">
      <c r="A38">
        <v>37</v>
      </c>
      <c r="B38">
        <v>33</v>
      </c>
      <c r="C38" t="s">
        <v>202</v>
      </c>
      <c r="D38" t="s">
        <v>243</v>
      </c>
      <c r="E38" t="s">
        <v>244</v>
      </c>
      <c r="F38">
        <v>51465945</v>
      </c>
      <c r="G38" s="97">
        <v>45787</v>
      </c>
      <c r="H38" s="98">
        <v>45790.610185185185</v>
      </c>
      <c r="I38" s="98">
        <v>45793.380601851852</v>
      </c>
      <c r="J38">
        <v>0</v>
      </c>
      <c r="K38">
        <v>81357</v>
      </c>
      <c r="L38">
        <v>15458</v>
      </c>
      <c r="O38" s="3">
        <v>96815</v>
      </c>
      <c r="P38" t="s">
        <v>268</v>
      </c>
    </row>
    <row r="39" spans="1:16">
      <c r="A39">
        <v>38</v>
      </c>
      <c r="B39">
        <v>33</v>
      </c>
      <c r="C39" t="s">
        <v>202</v>
      </c>
      <c r="D39" t="s">
        <v>203</v>
      </c>
      <c r="E39" t="s">
        <v>204</v>
      </c>
      <c r="F39">
        <v>210970</v>
      </c>
      <c r="G39" s="97">
        <v>45790</v>
      </c>
      <c r="H39" s="98">
        <v>45790.640439814815</v>
      </c>
      <c r="I39" s="98">
        <v>45793.380601851852</v>
      </c>
      <c r="J39">
        <v>0</v>
      </c>
      <c r="K39">
        <v>71850</v>
      </c>
      <c r="L39">
        <v>13652</v>
      </c>
      <c r="O39" s="3">
        <v>85502</v>
      </c>
      <c r="P39" t="s">
        <v>267</v>
      </c>
    </row>
    <row r="40" spans="1:16">
      <c r="A40">
        <v>39</v>
      </c>
      <c r="B40">
        <v>33</v>
      </c>
      <c r="C40" t="s">
        <v>202</v>
      </c>
      <c r="D40" t="s">
        <v>203</v>
      </c>
      <c r="E40" t="s">
        <v>204</v>
      </c>
      <c r="F40">
        <v>210983</v>
      </c>
      <c r="G40" s="97">
        <v>45790</v>
      </c>
      <c r="H40" s="98">
        <v>45790.668252314812</v>
      </c>
      <c r="I40" s="98">
        <v>45793.380601851852</v>
      </c>
      <c r="J40">
        <v>0</v>
      </c>
      <c r="K40">
        <v>26790</v>
      </c>
      <c r="L40">
        <v>5090</v>
      </c>
      <c r="O40" s="3">
        <v>31880</v>
      </c>
      <c r="P40" t="s">
        <v>267</v>
      </c>
    </row>
    <row r="41" spans="1:16">
      <c r="A41">
        <v>40</v>
      </c>
      <c r="B41">
        <v>33</v>
      </c>
      <c r="C41" t="s">
        <v>202</v>
      </c>
      <c r="D41" t="s">
        <v>245</v>
      </c>
      <c r="E41" t="s">
        <v>246</v>
      </c>
      <c r="F41">
        <v>15213</v>
      </c>
      <c r="G41" s="97">
        <v>45790</v>
      </c>
      <c r="H41" s="98">
        <v>45790.91951388889</v>
      </c>
      <c r="I41" s="98">
        <v>45793.5387962963</v>
      </c>
      <c r="J41">
        <v>0</v>
      </c>
      <c r="K41">
        <v>939555</v>
      </c>
      <c r="L41">
        <v>178515</v>
      </c>
      <c r="O41" s="3">
        <v>1118070</v>
      </c>
      <c r="P41" t="s">
        <v>268</v>
      </c>
    </row>
    <row r="42" spans="1:16">
      <c r="A42">
        <v>41</v>
      </c>
      <c r="B42">
        <v>33</v>
      </c>
      <c r="C42" t="s">
        <v>202</v>
      </c>
      <c r="D42" t="s">
        <v>247</v>
      </c>
      <c r="E42" t="s">
        <v>248</v>
      </c>
      <c r="F42">
        <v>18867</v>
      </c>
      <c r="G42" s="97">
        <v>45791</v>
      </c>
      <c r="H42" s="98">
        <v>45791.602638888886</v>
      </c>
      <c r="I42" s="98">
        <v>45793.380601851852</v>
      </c>
      <c r="J42">
        <v>0</v>
      </c>
      <c r="K42">
        <v>59800</v>
      </c>
      <c r="L42">
        <v>11362</v>
      </c>
      <c r="O42" s="3">
        <v>71162</v>
      </c>
      <c r="P42" t="s">
        <v>267</v>
      </c>
    </row>
    <row r="43" spans="1:16">
      <c r="A43">
        <v>42</v>
      </c>
      <c r="B43">
        <v>33</v>
      </c>
      <c r="C43" t="s">
        <v>202</v>
      </c>
      <c r="D43" t="s">
        <v>235</v>
      </c>
      <c r="E43" t="s">
        <v>236</v>
      </c>
      <c r="F43">
        <v>1498545</v>
      </c>
      <c r="G43" s="97">
        <v>45792</v>
      </c>
      <c r="H43" s="98">
        <v>45792.768888888888</v>
      </c>
      <c r="J43">
        <v>0</v>
      </c>
      <c r="K43">
        <v>316200</v>
      </c>
      <c r="L43">
        <v>60078</v>
      </c>
      <c r="O43" s="3">
        <v>376278</v>
      </c>
      <c r="P43" t="s">
        <v>267</v>
      </c>
    </row>
    <row r="44" spans="1:16">
      <c r="A44">
        <v>43</v>
      </c>
      <c r="B44">
        <v>33</v>
      </c>
      <c r="C44" t="s">
        <v>202</v>
      </c>
      <c r="D44" t="s">
        <v>209</v>
      </c>
      <c r="E44" t="s">
        <v>210</v>
      </c>
      <c r="F44">
        <v>72827</v>
      </c>
      <c r="G44" s="97">
        <v>45791</v>
      </c>
      <c r="H44" s="98">
        <v>45793.394675925927</v>
      </c>
      <c r="J44">
        <v>0</v>
      </c>
      <c r="K44">
        <v>236500</v>
      </c>
      <c r="L44">
        <v>44935</v>
      </c>
      <c r="O44" s="3">
        <v>281435</v>
      </c>
      <c r="P44" t="s">
        <v>267</v>
      </c>
    </row>
    <row r="45" spans="1:16">
      <c r="A45">
        <v>44</v>
      </c>
      <c r="B45">
        <v>33</v>
      </c>
      <c r="C45" t="s">
        <v>202</v>
      </c>
      <c r="D45" t="s">
        <v>209</v>
      </c>
      <c r="E45" t="s">
        <v>210</v>
      </c>
      <c r="F45">
        <v>72845</v>
      </c>
      <c r="G45" s="97">
        <v>45791</v>
      </c>
      <c r="H45" s="98">
        <v>45793.394733796296</v>
      </c>
      <c r="J45">
        <v>0</v>
      </c>
      <c r="K45">
        <v>220605</v>
      </c>
      <c r="L45">
        <v>41915</v>
      </c>
      <c r="O45" s="3">
        <v>262520</v>
      </c>
      <c r="P45" t="s">
        <v>267</v>
      </c>
    </row>
    <row r="46" spans="1:16">
      <c r="A46">
        <v>45</v>
      </c>
      <c r="B46">
        <v>33</v>
      </c>
      <c r="C46" t="s">
        <v>202</v>
      </c>
      <c r="D46" t="s">
        <v>209</v>
      </c>
      <c r="E46" t="s">
        <v>210</v>
      </c>
      <c r="F46">
        <v>72840</v>
      </c>
      <c r="G46" s="97">
        <v>45791</v>
      </c>
      <c r="H46" s="98">
        <v>45793.39472222222</v>
      </c>
      <c r="J46">
        <v>0</v>
      </c>
      <c r="K46">
        <v>445880</v>
      </c>
      <c r="L46">
        <v>84717</v>
      </c>
      <c r="O46" s="3">
        <v>530597</v>
      </c>
      <c r="P46" t="s">
        <v>267</v>
      </c>
    </row>
    <row r="47" spans="1:16">
      <c r="A47">
        <v>46</v>
      </c>
      <c r="B47">
        <v>33</v>
      </c>
      <c r="C47" t="s">
        <v>202</v>
      </c>
      <c r="D47" t="s">
        <v>209</v>
      </c>
      <c r="E47" t="s">
        <v>210</v>
      </c>
      <c r="F47">
        <v>72945</v>
      </c>
      <c r="G47" s="97">
        <v>45793</v>
      </c>
      <c r="H47" s="98">
        <v>45793.735937500001</v>
      </c>
      <c r="J47">
        <v>0</v>
      </c>
      <c r="K47">
        <v>991710</v>
      </c>
      <c r="L47">
        <v>188425</v>
      </c>
      <c r="O47" s="3">
        <v>1180135</v>
      </c>
      <c r="P47" t="s">
        <v>267</v>
      </c>
    </row>
    <row r="48" spans="1:16">
      <c r="A48">
        <v>47</v>
      </c>
      <c r="B48">
        <v>33</v>
      </c>
      <c r="C48" t="s">
        <v>202</v>
      </c>
      <c r="D48" t="s">
        <v>249</v>
      </c>
      <c r="E48" t="s">
        <v>250</v>
      </c>
      <c r="F48">
        <v>935</v>
      </c>
      <c r="G48" s="97">
        <v>45793</v>
      </c>
      <c r="H48" s="98">
        <v>45793.828587962962</v>
      </c>
      <c r="J48">
        <v>0</v>
      </c>
      <c r="K48">
        <v>1282500</v>
      </c>
      <c r="L48">
        <v>243675</v>
      </c>
      <c r="O48" s="3">
        <v>1526175</v>
      </c>
      <c r="P48" t="s">
        <v>267</v>
      </c>
    </row>
    <row r="49" spans="1:16">
      <c r="A49">
        <v>48</v>
      </c>
      <c r="B49">
        <v>33</v>
      </c>
      <c r="C49" t="s">
        <v>202</v>
      </c>
      <c r="D49" t="s">
        <v>251</v>
      </c>
      <c r="E49" t="s">
        <v>252</v>
      </c>
      <c r="F49">
        <v>159</v>
      </c>
      <c r="G49" s="97">
        <v>45796</v>
      </c>
      <c r="H49" s="98">
        <v>45796.657268518517</v>
      </c>
      <c r="J49">
        <v>0</v>
      </c>
      <c r="K49">
        <v>250000</v>
      </c>
      <c r="L49">
        <v>47500</v>
      </c>
      <c r="O49" s="3">
        <v>297500</v>
      </c>
      <c r="P49" t="s">
        <v>268</v>
      </c>
    </row>
    <row r="50" spans="1:16">
      <c r="A50">
        <v>49</v>
      </c>
      <c r="B50">
        <v>33</v>
      </c>
      <c r="C50" t="s">
        <v>202</v>
      </c>
      <c r="D50" t="s">
        <v>253</v>
      </c>
      <c r="E50" t="s">
        <v>254</v>
      </c>
      <c r="F50">
        <v>2903</v>
      </c>
      <c r="G50" s="97">
        <v>45797</v>
      </c>
      <c r="H50" s="98">
        <v>45797.685671296298</v>
      </c>
      <c r="J50">
        <v>0</v>
      </c>
      <c r="K50">
        <v>66400</v>
      </c>
      <c r="L50">
        <v>12616</v>
      </c>
      <c r="O50" s="3">
        <v>79016</v>
      </c>
      <c r="P50" t="s">
        <v>268</v>
      </c>
    </row>
    <row r="51" spans="1:16">
      <c r="A51">
        <v>50</v>
      </c>
      <c r="B51">
        <v>33</v>
      </c>
      <c r="C51" t="s">
        <v>202</v>
      </c>
      <c r="D51" t="s">
        <v>229</v>
      </c>
      <c r="E51" t="s">
        <v>230</v>
      </c>
      <c r="F51">
        <v>2427</v>
      </c>
      <c r="G51" s="97">
        <v>45797</v>
      </c>
      <c r="H51" s="98">
        <v>45797.713229166664</v>
      </c>
      <c r="J51">
        <v>0</v>
      </c>
      <c r="K51">
        <v>349680</v>
      </c>
      <c r="L51">
        <v>66439</v>
      </c>
      <c r="O51" s="3">
        <v>416119</v>
      </c>
      <c r="P51" t="s">
        <v>267</v>
      </c>
    </row>
    <row r="52" spans="1:16">
      <c r="A52">
        <v>51</v>
      </c>
      <c r="B52">
        <v>33</v>
      </c>
      <c r="C52" t="s">
        <v>202</v>
      </c>
      <c r="D52" t="s">
        <v>209</v>
      </c>
      <c r="E52" t="s">
        <v>210</v>
      </c>
      <c r="F52">
        <v>73029</v>
      </c>
      <c r="G52" s="97">
        <v>45796</v>
      </c>
      <c r="H52" s="98">
        <v>45797.750208333331</v>
      </c>
      <c r="J52">
        <v>0</v>
      </c>
      <c r="K52">
        <v>116160</v>
      </c>
      <c r="L52">
        <v>22070</v>
      </c>
      <c r="O52" s="3">
        <v>138230</v>
      </c>
      <c r="P52" t="s">
        <v>267</v>
      </c>
    </row>
    <row r="53" spans="1:16">
      <c r="A53">
        <v>52</v>
      </c>
      <c r="B53">
        <v>33</v>
      </c>
      <c r="C53" t="s">
        <v>202</v>
      </c>
      <c r="D53" t="s">
        <v>209</v>
      </c>
      <c r="E53" t="s">
        <v>210</v>
      </c>
      <c r="F53">
        <v>73046</v>
      </c>
      <c r="G53" s="97">
        <v>45797</v>
      </c>
      <c r="H53" s="98">
        <v>45797.750324074077</v>
      </c>
      <c r="J53">
        <v>0</v>
      </c>
      <c r="K53">
        <v>838464</v>
      </c>
      <c r="L53">
        <v>159308</v>
      </c>
      <c r="O53" s="3">
        <v>997772</v>
      </c>
      <c r="P53" t="s">
        <v>267</v>
      </c>
    </row>
    <row r="54" spans="1:16">
      <c r="A54">
        <v>53</v>
      </c>
      <c r="B54">
        <v>33</v>
      </c>
      <c r="C54" t="s">
        <v>202</v>
      </c>
      <c r="D54" t="s">
        <v>209</v>
      </c>
      <c r="E54" t="s">
        <v>210</v>
      </c>
      <c r="F54">
        <v>73041</v>
      </c>
      <c r="G54" s="97">
        <v>45797</v>
      </c>
      <c r="H54" s="98">
        <v>45797.750300925924</v>
      </c>
      <c r="J54">
        <v>0</v>
      </c>
      <c r="K54">
        <v>59695</v>
      </c>
      <c r="L54">
        <v>11342</v>
      </c>
      <c r="O54" s="3">
        <v>71037</v>
      </c>
      <c r="P54" t="s">
        <v>267</v>
      </c>
    </row>
    <row r="55" spans="1:16">
      <c r="A55">
        <v>54</v>
      </c>
      <c r="B55">
        <v>33</v>
      </c>
      <c r="C55" t="s">
        <v>202</v>
      </c>
      <c r="D55" t="s">
        <v>203</v>
      </c>
      <c r="E55" t="s">
        <v>204</v>
      </c>
      <c r="F55">
        <v>211415</v>
      </c>
      <c r="G55" s="97">
        <v>45799</v>
      </c>
      <c r="H55" s="98">
        <v>45799.557152777779</v>
      </c>
      <c r="J55">
        <v>0</v>
      </c>
      <c r="K55">
        <v>47700</v>
      </c>
      <c r="L55">
        <v>9063</v>
      </c>
      <c r="O55" s="3">
        <v>56763</v>
      </c>
      <c r="P55" t="s">
        <v>267</v>
      </c>
    </row>
    <row r="56" spans="1:16">
      <c r="A56">
        <v>55</v>
      </c>
      <c r="B56">
        <v>33</v>
      </c>
      <c r="C56" t="s">
        <v>202</v>
      </c>
      <c r="D56" t="s">
        <v>203</v>
      </c>
      <c r="E56" t="s">
        <v>204</v>
      </c>
      <c r="F56">
        <v>211440</v>
      </c>
      <c r="G56" s="97">
        <v>45799</v>
      </c>
      <c r="H56" s="98">
        <v>45799.668298611112</v>
      </c>
      <c r="J56">
        <v>0</v>
      </c>
      <c r="K56">
        <v>122790</v>
      </c>
      <c r="L56">
        <v>23330</v>
      </c>
      <c r="O56" s="3">
        <v>146120</v>
      </c>
      <c r="P56" t="s">
        <v>267</v>
      </c>
    </row>
    <row r="57" spans="1:16">
      <c r="A57">
        <v>56</v>
      </c>
      <c r="B57">
        <v>33</v>
      </c>
      <c r="C57" t="s">
        <v>202</v>
      </c>
      <c r="D57" t="s">
        <v>235</v>
      </c>
      <c r="E57" t="s">
        <v>236</v>
      </c>
      <c r="F57">
        <v>1498779</v>
      </c>
      <c r="G57" s="97">
        <v>45797</v>
      </c>
      <c r="H57" s="98">
        <v>45799.705347222225</v>
      </c>
      <c r="J57">
        <v>0</v>
      </c>
      <c r="K57">
        <v>33350</v>
      </c>
      <c r="L57">
        <v>6337</v>
      </c>
      <c r="O57" s="3">
        <v>39687</v>
      </c>
      <c r="P57" t="s">
        <v>267</v>
      </c>
    </row>
    <row r="58" spans="1:16">
      <c r="A58">
        <v>57</v>
      </c>
      <c r="B58">
        <v>33</v>
      </c>
      <c r="C58" t="s">
        <v>202</v>
      </c>
      <c r="D58" t="s">
        <v>255</v>
      </c>
      <c r="E58" t="s">
        <v>256</v>
      </c>
      <c r="F58">
        <v>7326</v>
      </c>
      <c r="G58" s="97">
        <v>45797</v>
      </c>
      <c r="H58" s="98">
        <v>45799.72896990741</v>
      </c>
      <c r="J58">
        <v>0</v>
      </c>
      <c r="K58">
        <v>79832</v>
      </c>
      <c r="L58">
        <v>15168</v>
      </c>
      <c r="O58" s="100">
        <v>95000</v>
      </c>
      <c r="P58" t="s">
        <v>268</v>
      </c>
    </row>
    <row r="59" spans="1:16">
      <c r="A59">
        <v>58</v>
      </c>
      <c r="B59">
        <v>33</v>
      </c>
      <c r="C59" t="s">
        <v>202</v>
      </c>
      <c r="D59" t="s">
        <v>235</v>
      </c>
      <c r="E59" t="s">
        <v>236</v>
      </c>
      <c r="F59">
        <v>1499002</v>
      </c>
      <c r="G59" s="97">
        <v>45800</v>
      </c>
      <c r="H59" s="98">
        <v>45799.773275462961</v>
      </c>
      <c r="J59">
        <v>0</v>
      </c>
      <c r="K59">
        <v>55950</v>
      </c>
      <c r="L59">
        <v>10631</v>
      </c>
      <c r="O59" s="3">
        <v>66581</v>
      </c>
      <c r="P59" t="s">
        <v>267</v>
      </c>
    </row>
    <row r="60" spans="1:16">
      <c r="A60">
        <v>59</v>
      </c>
      <c r="B60">
        <v>33</v>
      </c>
      <c r="C60" t="s">
        <v>202</v>
      </c>
      <c r="D60" t="s">
        <v>257</v>
      </c>
      <c r="E60" t="s">
        <v>258</v>
      </c>
      <c r="F60">
        <v>1846100</v>
      </c>
      <c r="G60" s="97">
        <v>45802</v>
      </c>
      <c r="H60" s="98">
        <v>45803.468240740738</v>
      </c>
      <c r="J60">
        <v>0</v>
      </c>
      <c r="K60">
        <v>44347</v>
      </c>
      <c r="L60">
        <v>8426</v>
      </c>
      <c r="O60" s="3">
        <v>52773</v>
      </c>
      <c r="P60" t="s">
        <v>268</v>
      </c>
    </row>
    <row r="61" spans="1:16">
      <c r="A61">
        <v>60</v>
      </c>
      <c r="B61">
        <v>33</v>
      </c>
      <c r="C61" t="s">
        <v>202</v>
      </c>
      <c r="D61" t="s">
        <v>259</v>
      </c>
      <c r="E61" t="s">
        <v>260</v>
      </c>
      <c r="F61">
        <v>413286</v>
      </c>
      <c r="G61" s="97">
        <v>45808</v>
      </c>
      <c r="H61" s="98">
        <v>45807.48883101852</v>
      </c>
      <c r="J61">
        <v>0</v>
      </c>
      <c r="K61">
        <v>54918</v>
      </c>
      <c r="L61">
        <v>10434</v>
      </c>
      <c r="O61" s="3">
        <v>65352</v>
      </c>
      <c r="P61" t="s">
        <v>267</v>
      </c>
    </row>
    <row r="62" spans="1:16">
      <c r="A62">
        <v>61</v>
      </c>
      <c r="B62">
        <v>33</v>
      </c>
      <c r="C62" t="s">
        <v>202</v>
      </c>
      <c r="D62" t="s">
        <v>261</v>
      </c>
      <c r="E62" t="s">
        <v>262</v>
      </c>
      <c r="F62">
        <v>8501780</v>
      </c>
      <c r="G62" s="97">
        <v>45806</v>
      </c>
      <c r="H62" s="98">
        <v>45807.517488425925</v>
      </c>
      <c r="J62">
        <v>0</v>
      </c>
      <c r="K62">
        <v>79658</v>
      </c>
      <c r="L62">
        <v>15135</v>
      </c>
      <c r="O62" s="3">
        <v>94793</v>
      </c>
      <c r="P62" t="s">
        <v>267</v>
      </c>
    </row>
    <row r="63" spans="1:16">
      <c r="A63">
        <v>62</v>
      </c>
      <c r="B63">
        <v>33</v>
      </c>
      <c r="C63" t="s">
        <v>202</v>
      </c>
      <c r="D63" t="s">
        <v>213</v>
      </c>
      <c r="E63" t="s">
        <v>214</v>
      </c>
      <c r="F63">
        <v>43765551</v>
      </c>
      <c r="G63" s="97">
        <v>45804</v>
      </c>
      <c r="H63" s="98">
        <v>45808.707129629627</v>
      </c>
      <c r="J63">
        <v>0</v>
      </c>
      <c r="K63">
        <v>39179</v>
      </c>
      <c r="L63">
        <v>7444</v>
      </c>
      <c r="O63" s="99">
        <v>46623</v>
      </c>
      <c r="P63" t="s">
        <v>268</v>
      </c>
    </row>
    <row r="64" spans="1:16">
      <c r="A64">
        <v>63</v>
      </c>
      <c r="B64">
        <v>34</v>
      </c>
      <c r="C64" t="s">
        <v>202</v>
      </c>
      <c r="D64" t="s">
        <v>263</v>
      </c>
      <c r="E64" t="s">
        <v>264</v>
      </c>
      <c r="F64">
        <v>521</v>
      </c>
      <c r="G64" s="97">
        <v>45779</v>
      </c>
      <c r="H64" s="98">
        <v>45779.870856481481</v>
      </c>
      <c r="J64">
        <v>589921</v>
      </c>
      <c r="K64">
        <v>0</v>
      </c>
      <c r="L64">
        <v>0</v>
      </c>
      <c r="O64" s="100">
        <v>589921</v>
      </c>
      <c r="P64" t="s">
        <v>268</v>
      </c>
    </row>
    <row r="65" spans="1:17">
      <c r="A65">
        <v>64</v>
      </c>
      <c r="B65">
        <v>34</v>
      </c>
      <c r="C65" t="s">
        <v>202</v>
      </c>
      <c r="D65" t="s">
        <v>213</v>
      </c>
      <c r="E65" t="s">
        <v>214</v>
      </c>
      <c r="F65">
        <v>26778097</v>
      </c>
      <c r="G65" s="97">
        <v>45763</v>
      </c>
      <c r="H65" s="98">
        <v>45783.861909722225</v>
      </c>
      <c r="J65">
        <v>21495</v>
      </c>
      <c r="K65">
        <v>0</v>
      </c>
      <c r="L65">
        <v>0</v>
      </c>
      <c r="O65" s="99">
        <v>21495</v>
      </c>
      <c r="P65" t="s">
        <v>268</v>
      </c>
    </row>
    <row r="66" spans="1:17">
      <c r="A66">
        <v>65</v>
      </c>
      <c r="B66">
        <v>34</v>
      </c>
      <c r="C66" t="s">
        <v>202</v>
      </c>
      <c r="D66" t="s">
        <v>213</v>
      </c>
      <c r="E66" t="s">
        <v>214</v>
      </c>
      <c r="F66">
        <v>26844731</v>
      </c>
      <c r="G66" s="97">
        <v>45793</v>
      </c>
      <c r="H66" s="98">
        <v>45794.672129629631</v>
      </c>
      <c r="J66">
        <v>3904</v>
      </c>
      <c r="K66">
        <v>0</v>
      </c>
      <c r="L66">
        <v>0</v>
      </c>
      <c r="O66" s="99">
        <v>3904</v>
      </c>
      <c r="P66" t="s">
        <v>268</v>
      </c>
    </row>
    <row r="67" spans="1:17">
      <c r="A67">
        <v>66</v>
      </c>
      <c r="B67">
        <v>43</v>
      </c>
      <c r="C67" t="s">
        <v>202</v>
      </c>
      <c r="D67" t="s">
        <v>261</v>
      </c>
      <c r="E67" t="s">
        <v>265</v>
      </c>
      <c r="F67">
        <v>680344</v>
      </c>
      <c r="G67" s="97">
        <v>45774</v>
      </c>
      <c r="H67" s="98">
        <v>45775.047268518516</v>
      </c>
      <c r="J67">
        <v>0</v>
      </c>
      <c r="K67">
        <v>0</v>
      </c>
      <c r="L67">
        <v>0</v>
      </c>
      <c r="O67" s="3">
        <v>0</v>
      </c>
      <c r="P67" t="s">
        <v>267</v>
      </c>
    </row>
    <row r="68" spans="1:17">
      <c r="A68">
        <v>67</v>
      </c>
      <c r="B68">
        <v>43</v>
      </c>
      <c r="C68" t="s">
        <v>202</v>
      </c>
      <c r="D68" t="s">
        <v>261</v>
      </c>
      <c r="E68" t="s">
        <v>265</v>
      </c>
      <c r="F68">
        <v>684824</v>
      </c>
      <c r="G68" s="97">
        <v>45777</v>
      </c>
      <c r="H68" s="98">
        <v>45778.022106481483</v>
      </c>
      <c r="J68">
        <v>0</v>
      </c>
      <c r="K68">
        <v>0</v>
      </c>
      <c r="L68">
        <v>0</v>
      </c>
      <c r="O68" s="3">
        <v>0</v>
      </c>
      <c r="P68" t="s">
        <v>267</v>
      </c>
    </row>
    <row r="69" spans="1:17">
      <c r="A69">
        <v>68</v>
      </c>
      <c r="B69">
        <v>43</v>
      </c>
      <c r="C69" t="s">
        <v>202</v>
      </c>
      <c r="D69" t="s">
        <v>261</v>
      </c>
      <c r="E69" t="s">
        <v>265</v>
      </c>
      <c r="F69">
        <v>693714</v>
      </c>
      <c r="G69" s="97">
        <v>45788</v>
      </c>
      <c r="H69" s="98">
        <v>45789.036041666666</v>
      </c>
      <c r="J69">
        <v>0</v>
      </c>
      <c r="K69">
        <v>0</v>
      </c>
      <c r="L69">
        <v>0</v>
      </c>
      <c r="O69" s="3">
        <v>0</v>
      </c>
      <c r="P69" t="s">
        <v>267</v>
      </c>
    </row>
    <row r="70" spans="1:17">
      <c r="A70">
        <v>69</v>
      </c>
      <c r="B70">
        <v>61</v>
      </c>
      <c r="C70" t="s">
        <v>202</v>
      </c>
      <c r="D70" t="s">
        <v>203</v>
      </c>
      <c r="E70" t="s">
        <v>204</v>
      </c>
      <c r="F70">
        <v>63923</v>
      </c>
      <c r="G70" s="97">
        <v>45789</v>
      </c>
      <c r="H70" s="98">
        <v>45789.517025462963</v>
      </c>
      <c r="I70" s="98">
        <v>45793.380601851852</v>
      </c>
      <c r="J70">
        <v>0</v>
      </c>
      <c r="K70">
        <v>21900</v>
      </c>
      <c r="L70">
        <v>4161</v>
      </c>
      <c r="O70" s="3">
        <v>26061</v>
      </c>
      <c r="P70" t="s">
        <v>267</v>
      </c>
    </row>
    <row r="71" spans="1:17">
      <c r="A71">
        <v>70</v>
      </c>
      <c r="B71">
        <v>61</v>
      </c>
      <c r="C71" t="s">
        <v>202</v>
      </c>
      <c r="D71" t="s">
        <v>261</v>
      </c>
      <c r="E71" t="s">
        <v>262</v>
      </c>
      <c r="F71">
        <v>5965679</v>
      </c>
      <c r="G71" s="97">
        <v>45806</v>
      </c>
      <c r="H71" s="98">
        <v>45807.623969907407</v>
      </c>
      <c r="J71">
        <v>0</v>
      </c>
      <c r="K71">
        <v>9994</v>
      </c>
      <c r="L71">
        <v>1899</v>
      </c>
      <c r="O71" s="3">
        <v>11893</v>
      </c>
      <c r="P71" t="s">
        <v>267</v>
      </c>
    </row>
    <row r="75" spans="1:17">
      <c r="O75" s="3">
        <f>SUM(O2:O74)</f>
        <v>24199677</v>
      </c>
    </row>
    <row r="80" spans="1:17">
      <c r="N80" t="s">
        <v>271</v>
      </c>
      <c r="O80" s="3" t="s">
        <v>267</v>
      </c>
      <c r="P80" s="49">
        <v>17636200</v>
      </c>
      <c r="Q80" t="s">
        <v>275</v>
      </c>
    </row>
    <row r="81" spans="14:18">
      <c r="P81" s="49"/>
    </row>
    <row r="82" spans="14:18">
      <c r="N82" t="s">
        <v>272</v>
      </c>
      <c r="P82" s="49">
        <v>39109861</v>
      </c>
      <c r="Q82">
        <f>+P82*1.19</f>
        <v>46540734.589999996</v>
      </c>
    </row>
    <row r="84" spans="14:18">
      <c r="N84" s="93" t="s">
        <v>273</v>
      </c>
      <c r="O84" s="101"/>
      <c r="P84" s="93">
        <f>+P80/Q82</f>
        <v>0.37894116101445063</v>
      </c>
      <c r="Q84" s="90">
        <v>0.3</v>
      </c>
      <c r="R84" t="s">
        <v>276</v>
      </c>
    </row>
    <row r="86" spans="14:18">
      <c r="N86" t="s">
        <v>274</v>
      </c>
      <c r="P86" s="92">
        <f>1-P84</f>
        <v>0.62105883898554937</v>
      </c>
    </row>
  </sheetData>
  <autoFilter ref="A1:P71" xr:uid="{15BAF724-EC98-4B66-9161-07726BF0F20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ADFF-1731-481B-975B-399635D3D6AD}">
  <sheetPr>
    <tabColor rgb="FFFFFF00"/>
  </sheetPr>
  <dimension ref="A2:D12"/>
  <sheetViews>
    <sheetView workbookViewId="0">
      <selection activeCell="C12" sqref="C12"/>
    </sheetView>
  </sheetViews>
  <sheetFormatPr baseColWidth="10" defaultRowHeight="15.6"/>
  <cols>
    <col min="1" max="1" width="36" customWidth="1"/>
    <col min="2" max="2" width="17.3984375" customWidth="1"/>
    <col min="3" max="3" width="15.69921875" customWidth="1"/>
    <col min="4" max="4" width="15.8984375" customWidth="1"/>
  </cols>
  <sheetData>
    <row r="2" spans="1:4">
      <c r="A2" s="3" t="s">
        <v>175</v>
      </c>
      <c r="B2" s="91">
        <v>45748</v>
      </c>
      <c r="C2" s="91">
        <v>45778</v>
      </c>
      <c r="D2" s="91">
        <v>45809</v>
      </c>
    </row>
    <row r="4" spans="1:4">
      <c r="A4" t="s">
        <v>176</v>
      </c>
      <c r="B4" s="11">
        <f>50030811+1567828+312162-2654555</f>
        <v>49256246</v>
      </c>
      <c r="C4" s="11">
        <f>40533472+1598626+259471-3022237</f>
        <v>39369332</v>
      </c>
      <c r="D4" s="11">
        <f>40474773+1547788+383056+8187-1824248</f>
        <v>40589556</v>
      </c>
    </row>
    <row r="5" spans="1:4">
      <c r="B5" s="11"/>
      <c r="C5" s="11"/>
      <c r="D5" s="11"/>
    </row>
    <row r="6" spans="1:4">
      <c r="A6" s="84" t="s">
        <v>177</v>
      </c>
      <c r="B6" s="85">
        <f>23923699+1327977+98970+436190+6755390</f>
        <v>32542226</v>
      </c>
      <c r="C6" s="85">
        <f>19776388+615320-31894</f>
        <v>20359814</v>
      </c>
      <c r="D6" s="85">
        <f>20176942+621981-462620</f>
        <v>20336303</v>
      </c>
    </row>
    <row r="7" spans="1:4">
      <c r="B7" s="3"/>
      <c r="C7" s="3"/>
      <c r="D7" s="3"/>
    </row>
    <row r="8" spans="1:4">
      <c r="A8" t="s">
        <v>182</v>
      </c>
      <c r="B8" s="3"/>
      <c r="C8" s="3"/>
      <c r="D8" s="3">
        <f>4228000+15983660</f>
        <v>20211660</v>
      </c>
    </row>
    <row r="9" spans="1:4">
      <c r="B9" s="23"/>
      <c r="C9" s="23"/>
      <c r="D9" s="23"/>
    </row>
    <row r="12" spans="1:4">
      <c r="B12" s="23">
        <f t="shared" ref="B12:C12" si="0">+B6/B4</f>
        <v>0.66067206989343041</v>
      </c>
      <c r="C12" s="23">
        <f t="shared" si="0"/>
        <v>0.51714908447011498</v>
      </c>
      <c r="D12" s="23">
        <f>+D6/D4</f>
        <v>0.50102304642110396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7220-FC43-4CD0-9D21-2907820A0CE6}">
  <sheetPr>
    <tabColor rgb="FF00B050"/>
  </sheetPr>
  <dimension ref="A1:N29"/>
  <sheetViews>
    <sheetView workbookViewId="0">
      <selection activeCell="I8" sqref="I8"/>
    </sheetView>
  </sheetViews>
  <sheetFormatPr baseColWidth="10" defaultRowHeight="15.6"/>
  <cols>
    <col min="1" max="1" width="11.59765625" customWidth="1"/>
    <col min="2" max="2" width="32.09765625" customWidth="1"/>
  </cols>
  <sheetData>
    <row r="1" spans="1:14">
      <c r="C1" s="86">
        <v>45870</v>
      </c>
      <c r="D1" s="86">
        <v>45901</v>
      </c>
      <c r="E1" s="86">
        <v>45931</v>
      </c>
      <c r="F1" s="86">
        <v>45962</v>
      </c>
      <c r="G1" s="86">
        <v>45992</v>
      </c>
      <c r="H1" s="86">
        <v>46023</v>
      </c>
      <c r="I1" s="86">
        <v>46054</v>
      </c>
      <c r="J1" s="86">
        <v>46082</v>
      </c>
      <c r="K1" s="86">
        <v>46113</v>
      </c>
      <c r="L1" s="86">
        <v>46143</v>
      </c>
      <c r="M1" s="86">
        <v>46174</v>
      </c>
    </row>
    <row r="2" spans="1:14">
      <c r="B2" s="9" t="s">
        <v>28</v>
      </c>
      <c r="C2" s="10">
        <v>47483000.000000007</v>
      </c>
      <c r="D2" s="10">
        <v>48719000</v>
      </c>
      <c r="E2" s="10">
        <v>51603000</v>
      </c>
      <c r="F2" s="10">
        <v>55723000.000000007</v>
      </c>
      <c r="G2" s="10">
        <v>56341000</v>
      </c>
      <c r="H2" s="10">
        <v>60976000.000000007</v>
      </c>
      <c r="I2" s="10">
        <v>62109000</v>
      </c>
      <c r="J2" s="10">
        <v>68289000</v>
      </c>
      <c r="K2" s="10">
        <v>73542000</v>
      </c>
      <c r="L2" s="10">
        <v>76323000</v>
      </c>
      <c r="M2" s="10">
        <v>77147000</v>
      </c>
    </row>
    <row r="4" spans="1:14">
      <c r="B4" t="s">
        <v>165</v>
      </c>
      <c r="C4" s="11">
        <f t="shared" ref="C4:M4" si="0">+C2*1.19</f>
        <v>56504770.000000007</v>
      </c>
      <c r="D4" s="11">
        <f t="shared" si="0"/>
        <v>57975610</v>
      </c>
      <c r="E4" s="11">
        <f t="shared" si="0"/>
        <v>61407570</v>
      </c>
      <c r="F4" s="11">
        <f t="shared" si="0"/>
        <v>66310370.000000007</v>
      </c>
      <c r="G4" s="11">
        <f t="shared" si="0"/>
        <v>67045790</v>
      </c>
      <c r="H4" s="11">
        <f t="shared" si="0"/>
        <v>72561440</v>
      </c>
      <c r="I4" s="11">
        <f t="shared" si="0"/>
        <v>73909710</v>
      </c>
      <c r="J4" s="11">
        <f t="shared" si="0"/>
        <v>81263910</v>
      </c>
      <c r="K4" s="11">
        <f t="shared" si="0"/>
        <v>87514980</v>
      </c>
      <c r="L4" s="11">
        <f t="shared" si="0"/>
        <v>90824370</v>
      </c>
      <c r="M4" s="11">
        <f t="shared" si="0"/>
        <v>91804930</v>
      </c>
    </row>
    <row r="6" spans="1:14">
      <c r="A6" t="s">
        <v>166</v>
      </c>
      <c r="B6" t="s">
        <v>180</v>
      </c>
      <c r="C6" s="89">
        <v>0.9</v>
      </c>
      <c r="D6" s="89">
        <v>0.9</v>
      </c>
      <c r="E6" s="89">
        <v>0.9</v>
      </c>
      <c r="F6" s="89">
        <v>0.9</v>
      </c>
      <c r="G6" s="89">
        <v>0.9</v>
      </c>
      <c r="H6" s="89">
        <v>0.9</v>
      </c>
      <c r="I6" s="89">
        <v>0.9</v>
      </c>
      <c r="J6" s="89">
        <v>0.9</v>
      </c>
      <c r="K6" s="89">
        <v>0.9</v>
      </c>
      <c r="L6" s="89">
        <v>0.9</v>
      </c>
      <c r="M6" s="89">
        <v>0.9</v>
      </c>
      <c r="N6" t="s">
        <v>168</v>
      </c>
    </row>
    <row r="8" spans="1:14">
      <c r="B8" t="s">
        <v>167</v>
      </c>
      <c r="C8" s="11">
        <f>+C4*C6</f>
        <v>50854293.000000007</v>
      </c>
      <c r="D8" s="11">
        <f t="shared" ref="D8:M8" si="1">+D4*D6</f>
        <v>52178049</v>
      </c>
      <c r="E8" s="11">
        <f t="shared" si="1"/>
        <v>55266813</v>
      </c>
      <c r="F8" s="11">
        <f t="shared" si="1"/>
        <v>59679333.000000007</v>
      </c>
      <c r="G8" s="11">
        <f t="shared" si="1"/>
        <v>60341211</v>
      </c>
      <c r="H8" s="11">
        <f t="shared" si="1"/>
        <v>65305296</v>
      </c>
      <c r="I8" s="11">
        <f t="shared" si="1"/>
        <v>66518739</v>
      </c>
      <c r="J8" s="11">
        <f t="shared" si="1"/>
        <v>73137519</v>
      </c>
      <c r="K8" s="11">
        <f t="shared" si="1"/>
        <v>78763482</v>
      </c>
      <c r="L8" s="11">
        <f t="shared" si="1"/>
        <v>81741933</v>
      </c>
      <c r="M8" s="11">
        <f t="shared" si="1"/>
        <v>82624437</v>
      </c>
    </row>
    <row r="11" spans="1:14">
      <c r="B11" t="s">
        <v>169</v>
      </c>
    </row>
    <row r="13" spans="1:14">
      <c r="B13" t="s">
        <v>170</v>
      </c>
      <c r="C13" s="84" t="s">
        <v>171</v>
      </c>
      <c r="I13" s="3" t="s">
        <v>172</v>
      </c>
    </row>
    <row r="16" spans="1:14">
      <c r="C16" t="s">
        <v>173</v>
      </c>
      <c r="G16" s="90" t="s">
        <v>174</v>
      </c>
    </row>
    <row r="20" spans="2:8">
      <c r="B20" s="3" t="s">
        <v>175</v>
      </c>
      <c r="C20" s="91">
        <v>45748</v>
      </c>
      <c r="D20" s="91">
        <v>45778</v>
      </c>
      <c r="E20" s="91">
        <v>45809</v>
      </c>
    </row>
    <row r="22" spans="2:8">
      <c r="B22" t="s">
        <v>176</v>
      </c>
      <c r="C22" s="11">
        <f>(50030811+1567828+312162-2654555)*1.19</f>
        <v>58614932.739999995</v>
      </c>
      <c r="D22" s="11">
        <f>(40533472+1598626+259471-3022237)*1.19</f>
        <v>46849505.079999998</v>
      </c>
      <c r="E22" s="11">
        <f>(40474773+1547788+383056+8187-1824248)*1.19</f>
        <v>48301571.640000001</v>
      </c>
    </row>
    <row r="23" spans="2:8">
      <c r="C23" s="11"/>
      <c r="D23" s="11"/>
      <c r="E23" s="11"/>
    </row>
    <row r="24" spans="2:8">
      <c r="B24" t="s">
        <v>179</v>
      </c>
      <c r="C24" s="11">
        <v>47860769</v>
      </c>
      <c r="D24" s="85">
        <v>56506073</v>
      </c>
      <c r="E24" s="85">
        <v>48155400</v>
      </c>
    </row>
    <row r="25" spans="2:8">
      <c r="C25" s="3"/>
      <c r="D25" s="3"/>
      <c r="E25" s="3"/>
    </row>
    <row r="26" spans="2:8">
      <c r="C26" s="3"/>
      <c r="D26" s="3"/>
      <c r="E26" s="3"/>
    </row>
    <row r="27" spans="2:8">
      <c r="B27" t="s">
        <v>178</v>
      </c>
      <c r="C27" s="23">
        <f>+C24/C22</f>
        <v>0.81652860052399001</v>
      </c>
      <c r="D27" s="23">
        <f t="shared" ref="D27:E27" si="2">+D24/D22</f>
        <v>1.2061188886309575</v>
      </c>
      <c r="E27" s="23">
        <f t="shared" si="2"/>
        <v>0.99697377052056524</v>
      </c>
      <c r="F27" s="92">
        <f>AVERAGE(C27:E27)</f>
        <v>1.0065404198918377</v>
      </c>
      <c r="H27" s="92">
        <f>+C27+E27</f>
        <v>1.8135023710445553</v>
      </c>
    </row>
    <row r="29" spans="2:8">
      <c r="D29" s="93" t="s">
        <v>181</v>
      </c>
      <c r="H29" s="88">
        <f>+H27/2</f>
        <v>0.90675118552227763</v>
      </c>
    </row>
  </sheetData>
  <hyperlinks>
    <hyperlink ref="B2" location="'MARGENES_ESTIMADOS '!A1" display="  INGRESOS DE LA EXPLOTACIÓN" xr:uid="{1BBD4D09-7A82-4DE1-8DA7-1933C03893A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5A2E-D9FE-4467-A927-0572E1B62D34}">
  <sheetPr>
    <tabColor rgb="FFFF0000"/>
  </sheetPr>
  <dimension ref="A1:G14"/>
  <sheetViews>
    <sheetView workbookViewId="0">
      <selection activeCell="D4" sqref="D4"/>
    </sheetView>
  </sheetViews>
  <sheetFormatPr baseColWidth="10" defaultRowHeight="15.6"/>
  <cols>
    <col min="2" max="2" width="15.69921875" customWidth="1"/>
    <col min="3" max="3" width="17.796875" customWidth="1"/>
    <col min="4" max="4" width="26.19921875" customWidth="1"/>
    <col min="5" max="5" width="20.3984375" customWidth="1"/>
  </cols>
  <sheetData>
    <row r="1" spans="1:7">
      <c r="A1" t="s">
        <v>138</v>
      </c>
    </row>
    <row r="2" spans="1:7">
      <c r="A2" t="s">
        <v>139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  <c r="G2" t="s">
        <v>145</v>
      </c>
    </row>
    <row r="3" spans="1:7">
      <c r="A3" s="54">
        <v>45839</v>
      </c>
      <c r="B3">
        <v>18989354</v>
      </c>
      <c r="C3">
        <v>14153718</v>
      </c>
      <c r="D3">
        <v>4835636</v>
      </c>
      <c r="E3" t="s">
        <v>146</v>
      </c>
      <c r="F3">
        <v>0.25464984222212089</v>
      </c>
    </row>
    <row r="4" spans="1:7">
      <c r="A4" s="54">
        <v>45870</v>
      </c>
      <c r="B4">
        <v>18989354</v>
      </c>
      <c r="C4">
        <v>14153718</v>
      </c>
      <c r="D4">
        <v>4835636</v>
      </c>
      <c r="F4">
        <v>0.25464984222212089</v>
      </c>
      <c r="G4">
        <v>3000000</v>
      </c>
    </row>
    <row r="5" spans="1:7">
      <c r="A5" s="54">
        <v>45901</v>
      </c>
      <c r="B5">
        <v>18749354</v>
      </c>
      <c r="C5">
        <v>13961718</v>
      </c>
      <c r="D5">
        <v>4787636</v>
      </c>
      <c r="F5">
        <v>0.25534938430412057</v>
      </c>
      <c r="G5">
        <v>4000000</v>
      </c>
    </row>
    <row r="6" spans="1:7">
      <c r="A6" s="54">
        <v>45931</v>
      </c>
      <c r="B6">
        <v>18869354</v>
      </c>
      <c r="C6">
        <v>14057718</v>
      </c>
      <c r="D6">
        <v>4811636</v>
      </c>
      <c r="F6">
        <v>0.25499738888782308</v>
      </c>
      <c r="G6">
        <v>5000000</v>
      </c>
    </row>
    <row r="7" spans="1:7">
      <c r="A7" s="54">
        <v>45962</v>
      </c>
      <c r="B7">
        <v>19109354</v>
      </c>
      <c r="C7">
        <v>14249718</v>
      </c>
      <c r="D7">
        <v>4859636</v>
      </c>
      <c r="F7">
        <v>0.25430666049726225</v>
      </c>
      <c r="G7">
        <v>7000000</v>
      </c>
    </row>
    <row r="8" spans="1:7">
      <c r="A8" s="54">
        <v>45992</v>
      </c>
      <c r="B8">
        <v>19469354</v>
      </c>
      <c r="C8">
        <v>14537718</v>
      </c>
      <c r="D8">
        <v>4931636</v>
      </c>
      <c r="F8">
        <v>0.2533024978640791</v>
      </c>
      <c r="G8">
        <v>10000000</v>
      </c>
    </row>
    <row r="9" spans="1:7">
      <c r="A9" s="54">
        <v>46023</v>
      </c>
      <c r="B9">
        <v>19469354</v>
      </c>
      <c r="C9">
        <v>14537718</v>
      </c>
      <c r="D9">
        <v>4931636</v>
      </c>
      <c r="F9">
        <v>0.2533024978640791</v>
      </c>
      <c r="G9">
        <v>10000000</v>
      </c>
    </row>
    <row r="10" spans="1:7">
      <c r="A10" s="54">
        <v>46054</v>
      </c>
      <c r="B10">
        <v>19469354</v>
      </c>
      <c r="C10">
        <v>14537718</v>
      </c>
      <c r="D10">
        <v>4931636</v>
      </c>
      <c r="F10">
        <v>0.2533024978640791</v>
      </c>
      <c r="G10">
        <v>10000000</v>
      </c>
    </row>
    <row r="11" spans="1:7">
      <c r="A11" s="54">
        <v>46082</v>
      </c>
      <c r="B11">
        <v>19469354</v>
      </c>
      <c r="C11">
        <v>14537718</v>
      </c>
      <c r="D11">
        <v>4931636</v>
      </c>
      <c r="F11">
        <v>0.2533024978640791</v>
      </c>
      <c r="G11">
        <v>10000000</v>
      </c>
    </row>
    <row r="12" spans="1:7">
      <c r="A12" s="54">
        <v>46113</v>
      </c>
      <c r="B12">
        <v>19469354</v>
      </c>
      <c r="C12">
        <v>14537718</v>
      </c>
      <c r="D12">
        <v>4931636</v>
      </c>
      <c r="F12">
        <v>0.2533024978640791</v>
      </c>
      <c r="G12">
        <v>10000000</v>
      </c>
    </row>
    <row r="13" spans="1:7">
      <c r="A13" s="54">
        <v>46143</v>
      </c>
      <c r="B13">
        <v>19469354</v>
      </c>
      <c r="C13">
        <v>14537718</v>
      </c>
      <c r="D13">
        <v>4931636</v>
      </c>
      <c r="F13">
        <v>0.2533024978640791</v>
      </c>
      <c r="G13">
        <v>10000000</v>
      </c>
    </row>
    <row r="14" spans="1:7">
      <c r="A14" s="54">
        <v>46174</v>
      </c>
      <c r="B14">
        <v>19469354</v>
      </c>
      <c r="C14">
        <v>14537718</v>
      </c>
      <c r="D14">
        <v>4931636</v>
      </c>
      <c r="F14">
        <v>0.2533024978640791</v>
      </c>
      <c r="G14">
        <v>10000000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C234-FDCE-4309-A081-932F404C857B}">
  <sheetPr>
    <tabColor rgb="FFEE0000"/>
  </sheetPr>
  <dimension ref="A1:BA16"/>
  <sheetViews>
    <sheetView workbookViewId="0">
      <selection activeCell="C4" sqref="C4"/>
    </sheetView>
  </sheetViews>
  <sheetFormatPr baseColWidth="10" defaultRowHeight="15.6"/>
  <cols>
    <col min="1" max="1" width="23.296875" customWidth="1"/>
    <col min="2" max="2" width="13" customWidth="1"/>
    <col min="4" max="4" width="19.69921875" bestFit="1" customWidth="1"/>
    <col min="6" max="6" width="24.3984375" customWidth="1"/>
    <col min="11" max="11" width="20.19921875" customWidth="1"/>
  </cols>
  <sheetData>
    <row r="1" spans="1:53">
      <c r="B1" s="86">
        <v>45870</v>
      </c>
      <c r="G1" s="86">
        <v>45901</v>
      </c>
      <c r="L1" s="86">
        <v>45931</v>
      </c>
      <c r="Q1" s="86">
        <v>45962</v>
      </c>
      <c r="U1" s="86">
        <v>45992</v>
      </c>
      <c r="Z1" s="86">
        <v>46023</v>
      </c>
      <c r="AE1" s="86">
        <v>46054</v>
      </c>
      <c r="AJ1" s="86">
        <v>46082</v>
      </c>
      <c r="AO1" s="86">
        <v>46113</v>
      </c>
      <c r="AT1" s="86">
        <v>46143</v>
      </c>
      <c r="AY1" s="86">
        <v>46174</v>
      </c>
    </row>
    <row r="3" spans="1:53">
      <c r="B3" t="s">
        <v>154</v>
      </c>
      <c r="C3" t="s">
        <v>155</v>
      </c>
      <c r="G3" t="s">
        <v>154</v>
      </c>
      <c r="H3" t="s">
        <v>155</v>
      </c>
      <c r="L3" t="s">
        <v>154</v>
      </c>
      <c r="M3" t="s">
        <v>155</v>
      </c>
      <c r="Q3" t="s">
        <v>154</v>
      </c>
      <c r="R3" t="s">
        <v>155</v>
      </c>
      <c r="U3" t="s">
        <v>154</v>
      </c>
      <c r="V3" t="s">
        <v>155</v>
      </c>
      <c r="Z3" t="s">
        <v>154</v>
      </c>
      <c r="AA3" t="s">
        <v>155</v>
      </c>
      <c r="AE3" t="s">
        <v>154</v>
      </c>
      <c r="AF3" t="s">
        <v>155</v>
      </c>
      <c r="AJ3" t="s">
        <v>154</v>
      </c>
      <c r="AK3" t="s">
        <v>155</v>
      </c>
      <c r="AO3" t="s">
        <v>154</v>
      </c>
      <c r="AP3" t="s">
        <v>155</v>
      </c>
      <c r="AT3" t="s">
        <v>154</v>
      </c>
      <c r="AU3" t="s">
        <v>155</v>
      </c>
      <c r="AY3" t="s">
        <v>154</v>
      </c>
      <c r="AZ3" t="s">
        <v>155</v>
      </c>
    </row>
    <row r="4" spans="1:53">
      <c r="A4" t="s">
        <v>156</v>
      </c>
      <c r="B4" s="11">
        <f>+'PPTO RESULTADOS'!C4</f>
        <v>45217000</v>
      </c>
      <c r="C4" s="11">
        <f>+B4*19%</f>
        <v>8591230</v>
      </c>
      <c r="D4" t="s">
        <v>163</v>
      </c>
      <c r="F4" t="s">
        <v>156</v>
      </c>
      <c r="G4" s="11">
        <f>+'PPTO RESULTADOS'!D4</f>
        <v>47483000.000000007</v>
      </c>
      <c r="H4" s="11">
        <f>+G4*19%</f>
        <v>9021770.0000000019</v>
      </c>
      <c r="I4" t="s">
        <v>163</v>
      </c>
      <c r="K4" t="s">
        <v>156</v>
      </c>
      <c r="L4" s="11">
        <f>+'PPTO RESULTADOS'!E4</f>
        <v>48719000</v>
      </c>
      <c r="M4" s="11">
        <f>+L4*19%</f>
        <v>9256610</v>
      </c>
      <c r="N4" t="s">
        <v>163</v>
      </c>
      <c r="P4" t="s">
        <v>156</v>
      </c>
      <c r="Q4" s="11">
        <f>+'PPTO RESULTADOS'!F4</f>
        <v>51603000</v>
      </c>
      <c r="R4" s="11">
        <f>+Q4*19%</f>
        <v>9804570</v>
      </c>
      <c r="S4" t="s">
        <v>163</v>
      </c>
      <c r="T4" t="s">
        <v>156</v>
      </c>
      <c r="U4" s="11">
        <f>+'PPTO RESULTADOS'!G4</f>
        <v>55723000.000000007</v>
      </c>
      <c r="V4" s="11">
        <f>+U4*19%</f>
        <v>10587370.000000002</v>
      </c>
      <c r="W4" t="s">
        <v>163</v>
      </c>
      <c r="Y4" t="s">
        <v>156</v>
      </c>
      <c r="Z4" s="11">
        <f>+'PPTO RESULTADOS'!H4</f>
        <v>56341000</v>
      </c>
      <c r="AA4" s="11">
        <f>+Z4*19%</f>
        <v>10704790</v>
      </c>
      <c r="AB4" t="s">
        <v>163</v>
      </c>
      <c r="AD4" t="s">
        <v>156</v>
      </c>
      <c r="AE4" s="11">
        <f>+'PPTO RESULTADOS'!I4</f>
        <v>60976000.000000007</v>
      </c>
      <c r="AF4" s="11">
        <f>+AE4*19%</f>
        <v>11585440.000000002</v>
      </c>
      <c r="AG4" t="s">
        <v>163</v>
      </c>
      <c r="AI4" t="s">
        <v>156</v>
      </c>
      <c r="AJ4" s="11">
        <f>+'PPTO RESULTADOS'!K4</f>
        <v>68289000</v>
      </c>
      <c r="AK4" s="11">
        <f>+AJ4*19%</f>
        <v>12974910</v>
      </c>
      <c r="AL4" t="s">
        <v>163</v>
      </c>
      <c r="AN4" t="s">
        <v>156</v>
      </c>
      <c r="AO4" s="11">
        <f>+'PPTO RESULTADOS'!K4</f>
        <v>68289000</v>
      </c>
      <c r="AP4" s="11">
        <f>+AO4*19%</f>
        <v>12974910</v>
      </c>
      <c r="AQ4" t="s">
        <v>163</v>
      </c>
      <c r="AS4" t="s">
        <v>156</v>
      </c>
      <c r="AT4" s="11">
        <f>+'PPTO RESULTADOS'!L4</f>
        <v>73542000</v>
      </c>
      <c r="AU4" s="11">
        <f>+AT4*19%</f>
        <v>13972980</v>
      </c>
      <c r="AV4" t="s">
        <v>163</v>
      </c>
      <c r="AX4" t="s">
        <v>156</v>
      </c>
      <c r="AY4" s="11">
        <f>+'PPTO RESULTADOS'!M4</f>
        <v>76323000</v>
      </c>
      <c r="AZ4" s="11">
        <f>+AY4*19%</f>
        <v>14501370</v>
      </c>
      <c r="BA4" t="s">
        <v>163</v>
      </c>
    </row>
    <row r="5" spans="1:53">
      <c r="A5" t="s">
        <v>157</v>
      </c>
      <c r="B5" s="11"/>
      <c r="C5" s="11">
        <v>222285</v>
      </c>
      <c r="D5" t="s">
        <v>164</v>
      </c>
      <c r="F5" t="s">
        <v>157</v>
      </c>
      <c r="G5" s="11"/>
      <c r="H5" s="11">
        <v>222285</v>
      </c>
      <c r="I5" t="s">
        <v>164</v>
      </c>
      <c r="K5" t="s">
        <v>157</v>
      </c>
      <c r="L5" s="11"/>
      <c r="M5" s="11">
        <v>222285</v>
      </c>
      <c r="N5" t="s">
        <v>164</v>
      </c>
      <c r="P5" t="s">
        <v>157</v>
      </c>
      <c r="Q5" s="11"/>
      <c r="R5" s="11">
        <v>222285</v>
      </c>
      <c r="S5" t="s">
        <v>164</v>
      </c>
      <c r="T5" t="s">
        <v>157</v>
      </c>
      <c r="U5" s="11"/>
      <c r="V5" s="11">
        <v>222285</v>
      </c>
      <c r="W5" t="s">
        <v>164</v>
      </c>
      <c r="Y5" t="s">
        <v>157</v>
      </c>
      <c r="Z5" s="11"/>
      <c r="AA5" s="11">
        <v>222285</v>
      </c>
      <c r="AB5" t="s">
        <v>164</v>
      </c>
      <c r="AD5" t="s">
        <v>157</v>
      </c>
      <c r="AE5" s="11"/>
      <c r="AF5" s="11">
        <v>222285</v>
      </c>
      <c r="AG5" t="s">
        <v>164</v>
      </c>
      <c r="AI5" t="s">
        <v>157</v>
      </c>
      <c r="AJ5" s="11"/>
      <c r="AK5" s="11">
        <v>222285</v>
      </c>
      <c r="AL5" t="s">
        <v>164</v>
      </c>
      <c r="AN5" t="s">
        <v>157</v>
      </c>
      <c r="AO5" s="11"/>
      <c r="AP5" s="11">
        <v>222285</v>
      </c>
      <c r="AQ5" t="s">
        <v>164</v>
      </c>
      <c r="AS5" t="s">
        <v>157</v>
      </c>
      <c r="AT5" s="11"/>
      <c r="AU5" s="11">
        <v>222285</v>
      </c>
      <c r="AV5" t="s">
        <v>164</v>
      </c>
      <c r="AX5" t="s">
        <v>157</v>
      </c>
      <c r="AY5" s="11"/>
      <c r="AZ5" s="11">
        <v>222285</v>
      </c>
      <c r="BA5" t="s">
        <v>164</v>
      </c>
    </row>
    <row r="6" spans="1:53">
      <c r="A6" t="s">
        <v>158</v>
      </c>
      <c r="B6" s="11"/>
      <c r="C6" s="11">
        <v>813919</v>
      </c>
      <c r="D6" t="s">
        <v>164</v>
      </c>
      <c r="F6" t="s">
        <v>158</v>
      </c>
      <c r="G6" s="11"/>
      <c r="H6" s="11">
        <v>813919</v>
      </c>
      <c r="I6" t="s">
        <v>164</v>
      </c>
      <c r="K6" t="s">
        <v>158</v>
      </c>
      <c r="L6" s="11"/>
      <c r="M6" s="11">
        <v>813919</v>
      </c>
      <c r="N6" t="s">
        <v>164</v>
      </c>
      <c r="P6" t="s">
        <v>158</v>
      </c>
      <c r="Q6" s="11"/>
      <c r="R6" s="11">
        <v>813919</v>
      </c>
      <c r="S6" t="s">
        <v>164</v>
      </c>
      <c r="T6" t="s">
        <v>158</v>
      </c>
      <c r="U6" s="11"/>
      <c r="V6" s="11">
        <v>813919</v>
      </c>
      <c r="W6" t="s">
        <v>164</v>
      </c>
      <c r="Y6" t="s">
        <v>158</v>
      </c>
      <c r="Z6" s="11"/>
      <c r="AA6" s="11">
        <v>813919</v>
      </c>
      <c r="AB6" t="s">
        <v>164</v>
      </c>
      <c r="AD6" t="s">
        <v>158</v>
      </c>
      <c r="AE6" s="11"/>
      <c r="AF6" s="11">
        <v>813919</v>
      </c>
      <c r="AG6" t="s">
        <v>164</v>
      </c>
      <c r="AI6" t="s">
        <v>158</v>
      </c>
      <c r="AJ6" s="11"/>
      <c r="AK6" s="11">
        <v>813919</v>
      </c>
      <c r="AL6" t="s">
        <v>164</v>
      </c>
      <c r="AN6" t="s">
        <v>158</v>
      </c>
      <c r="AO6" s="11"/>
      <c r="AP6" s="11">
        <v>813919</v>
      </c>
      <c r="AQ6" t="s">
        <v>164</v>
      </c>
      <c r="AS6" t="s">
        <v>158</v>
      </c>
      <c r="AT6" s="11"/>
      <c r="AU6" s="11">
        <v>813919</v>
      </c>
      <c r="AV6" t="s">
        <v>164</v>
      </c>
      <c r="AX6" t="s">
        <v>158</v>
      </c>
      <c r="AY6" s="11"/>
      <c r="AZ6" s="11">
        <v>813919</v>
      </c>
      <c r="BA6" t="s">
        <v>164</v>
      </c>
    </row>
    <row r="7" spans="1:53">
      <c r="A7" t="s">
        <v>159</v>
      </c>
      <c r="B7" s="11"/>
      <c r="C7" s="11">
        <f>+B4*0.25%</f>
        <v>113042.5</v>
      </c>
      <c r="D7" t="s">
        <v>163</v>
      </c>
      <c r="F7" t="s">
        <v>159</v>
      </c>
      <c r="G7" s="11"/>
      <c r="H7" s="11">
        <f>+G4*0.25%</f>
        <v>118707.50000000001</v>
      </c>
      <c r="I7" t="s">
        <v>163</v>
      </c>
      <c r="K7" t="s">
        <v>159</v>
      </c>
      <c r="L7" s="11"/>
      <c r="M7" s="11">
        <f>+L4*0.25%</f>
        <v>121797.5</v>
      </c>
      <c r="N7" t="s">
        <v>163</v>
      </c>
      <c r="P7" t="s">
        <v>159</v>
      </c>
      <c r="Q7" s="11"/>
      <c r="R7" s="11">
        <f>+Q4*0.25%</f>
        <v>129007.5</v>
      </c>
      <c r="S7" t="s">
        <v>163</v>
      </c>
      <c r="T7" t="s">
        <v>159</v>
      </c>
      <c r="U7" s="11"/>
      <c r="V7" s="11">
        <f>+U4*0.25%</f>
        <v>139307.50000000003</v>
      </c>
      <c r="W7" t="s">
        <v>163</v>
      </c>
      <c r="Y7" t="s">
        <v>159</v>
      </c>
      <c r="Z7" s="11"/>
      <c r="AA7" s="11">
        <f>+Z4*0.25%</f>
        <v>140852.5</v>
      </c>
      <c r="AB7" t="s">
        <v>163</v>
      </c>
      <c r="AD7" t="s">
        <v>159</v>
      </c>
      <c r="AE7" s="11"/>
      <c r="AF7" s="11">
        <f>+AE4*0.25%</f>
        <v>152440.00000000003</v>
      </c>
      <c r="AG7" t="s">
        <v>163</v>
      </c>
      <c r="AI7" t="s">
        <v>159</v>
      </c>
      <c r="AJ7" s="11"/>
      <c r="AK7" s="11">
        <f>+AJ4*0.25%</f>
        <v>170722.5</v>
      </c>
      <c r="AL7" t="s">
        <v>163</v>
      </c>
      <c r="AN7" t="s">
        <v>159</v>
      </c>
      <c r="AO7" s="11"/>
      <c r="AP7" s="11">
        <f>+AO4*0.25%</f>
        <v>170722.5</v>
      </c>
      <c r="AQ7" t="s">
        <v>163</v>
      </c>
      <c r="AS7" t="s">
        <v>159</v>
      </c>
      <c r="AT7" s="11"/>
      <c r="AU7" s="11">
        <f>+AT4*0.25%</f>
        <v>183855</v>
      </c>
      <c r="AV7" t="s">
        <v>163</v>
      </c>
      <c r="AX7" t="s">
        <v>159</v>
      </c>
      <c r="AY7" s="11"/>
      <c r="AZ7" s="11">
        <f>+AY4*0.25%</f>
        <v>190807.5</v>
      </c>
      <c r="BA7" t="s">
        <v>163</v>
      </c>
    </row>
    <row r="8" spans="1:53">
      <c r="A8" t="s">
        <v>160</v>
      </c>
      <c r="B8" s="11"/>
      <c r="C8" s="11">
        <f>-3833623-87898</f>
        <v>-3921521</v>
      </c>
      <c r="D8" s="87" t="s">
        <v>162</v>
      </c>
      <c r="F8" t="s">
        <v>160</v>
      </c>
      <c r="G8" s="11"/>
      <c r="H8" s="11">
        <f>-D16</f>
        <v>-3272412.5823529414</v>
      </c>
      <c r="I8" t="s">
        <v>162</v>
      </c>
      <c r="K8" t="s">
        <v>160</v>
      </c>
      <c r="L8" s="11"/>
      <c r="M8" s="11">
        <f>-E16</f>
        <v>-3420361.7823529411</v>
      </c>
      <c r="N8" t="s">
        <v>162</v>
      </c>
      <c r="P8" t="s">
        <v>160</v>
      </c>
      <c r="Q8" s="11"/>
      <c r="R8" s="11">
        <f>-F16</f>
        <v>-3631717.782352942</v>
      </c>
      <c r="S8" t="s">
        <v>162</v>
      </c>
      <c r="T8" t="s">
        <v>160</v>
      </c>
      <c r="U8" s="11"/>
      <c r="V8" s="11">
        <f>-G16</f>
        <v>-3663421.1823529415</v>
      </c>
      <c r="W8" t="s">
        <v>162</v>
      </c>
      <c r="Y8" t="s">
        <v>160</v>
      </c>
      <c r="Z8" s="11"/>
      <c r="AA8" s="11">
        <f>-H16</f>
        <v>-3901196.6823529415</v>
      </c>
      <c r="AB8" t="s">
        <v>162</v>
      </c>
      <c r="AD8" t="s">
        <v>160</v>
      </c>
      <c r="AE8" s="11"/>
      <c r="AF8" s="11">
        <f>-I16</f>
        <v>-3959319.5823529414</v>
      </c>
      <c r="AG8" t="s">
        <v>162</v>
      </c>
      <c r="AI8" t="s">
        <v>160</v>
      </c>
      <c r="AJ8" s="11"/>
      <c r="AK8" s="11">
        <f>-J16</f>
        <v>-4276353.5823529409</v>
      </c>
      <c r="AL8" t="s">
        <v>162</v>
      </c>
      <c r="AN8" t="s">
        <v>160</v>
      </c>
      <c r="AO8" s="11"/>
      <c r="AP8" s="11">
        <f>-K16</f>
        <v>-4545832.4823529413</v>
      </c>
      <c r="AQ8" t="s">
        <v>162</v>
      </c>
      <c r="AS8" t="s">
        <v>160</v>
      </c>
      <c r="AT8" s="11"/>
      <c r="AU8" s="11">
        <f>-L16</f>
        <v>-4688497.7823529411</v>
      </c>
      <c r="AV8" t="s">
        <v>162</v>
      </c>
      <c r="AX8" t="s">
        <v>160</v>
      </c>
      <c r="AY8" s="11"/>
      <c r="AZ8" s="11">
        <f>-M16</f>
        <v>-4730768.9823529413</v>
      </c>
      <c r="BA8" t="s">
        <v>162</v>
      </c>
    </row>
    <row r="9" spans="1:53">
      <c r="A9" s="84" t="s">
        <v>161</v>
      </c>
      <c r="B9" s="85"/>
      <c r="C9" s="85">
        <f>SUM(C4:C8)</f>
        <v>5818955.5</v>
      </c>
      <c r="F9" s="84" t="s">
        <v>161</v>
      </c>
      <c r="G9" s="85"/>
      <c r="H9" s="85">
        <f>SUM(H4:H8)</f>
        <v>6904268.91764706</v>
      </c>
      <c r="K9" s="84" t="s">
        <v>161</v>
      </c>
      <c r="L9" s="85"/>
      <c r="M9" s="85">
        <f>SUM(M4:M8)</f>
        <v>6994249.7176470589</v>
      </c>
      <c r="P9" s="84" t="s">
        <v>161</v>
      </c>
      <c r="Q9" s="85"/>
      <c r="R9" s="85">
        <f>SUM(R4:R8)</f>
        <v>7338063.717647058</v>
      </c>
      <c r="T9" s="84" t="s">
        <v>161</v>
      </c>
      <c r="U9" s="85"/>
      <c r="V9" s="85">
        <f>SUM(V4:V8)</f>
        <v>8099460.3176470604</v>
      </c>
      <c r="Y9" s="84" t="s">
        <v>161</v>
      </c>
      <c r="Z9" s="85"/>
      <c r="AA9" s="85">
        <f>SUM(AA4:AA8)</f>
        <v>7980649.8176470585</v>
      </c>
      <c r="AD9" s="84" t="s">
        <v>161</v>
      </c>
      <c r="AE9" s="85"/>
      <c r="AF9" s="85">
        <f>SUM(AF4:AF8)</f>
        <v>8814764.41764706</v>
      </c>
      <c r="AI9" s="84" t="s">
        <v>161</v>
      </c>
      <c r="AJ9" s="85"/>
      <c r="AK9" s="85">
        <f>SUM(AK4:AK8)</f>
        <v>9905482.91764706</v>
      </c>
      <c r="AN9" s="84" t="s">
        <v>161</v>
      </c>
      <c r="AO9" s="85"/>
      <c r="AP9" s="85">
        <f>SUM(AP4:AP8)</f>
        <v>9636004.0176470578</v>
      </c>
      <c r="AS9" s="84" t="s">
        <v>161</v>
      </c>
      <c r="AT9" s="85"/>
      <c r="AU9" s="85">
        <f>SUM(AU4:AU8)</f>
        <v>10504541.217647059</v>
      </c>
      <c r="AX9" s="84" t="s">
        <v>161</v>
      </c>
      <c r="AY9" s="85"/>
      <c r="AZ9" s="85">
        <f>SUM(AZ4:AZ8)</f>
        <v>10997612.517647058</v>
      </c>
    </row>
    <row r="10" spans="1:53">
      <c r="B10" s="49"/>
      <c r="C10" s="49"/>
    </row>
    <row r="11" spans="1:53">
      <c r="B11" s="49"/>
      <c r="C11" s="94" t="s">
        <v>3</v>
      </c>
      <c r="D11" s="94" t="s">
        <v>4</v>
      </c>
      <c r="E11" s="94" t="s">
        <v>5</v>
      </c>
      <c r="F11" s="94" t="s">
        <v>6</v>
      </c>
      <c r="G11" s="94" t="s">
        <v>7</v>
      </c>
      <c r="H11" s="94" t="s">
        <v>8</v>
      </c>
      <c r="I11" s="94" t="s">
        <v>9</v>
      </c>
      <c r="J11" s="94" t="s">
        <v>10</v>
      </c>
      <c r="K11" s="94" t="s">
        <v>11</v>
      </c>
      <c r="L11" s="94" t="s">
        <v>12</v>
      </c>
      <c r="M11" s="94" t="s">
        <v>13</v>
      </c>
    </row>
    <row r="12" spans="1:53">
      <c r="A12" t="s">
        <v>280</v>
      </c>
      <c r="B12" s="49"/>
      <c r="C12" s="11">
        <f>+id!B11+id!B12</f>
        <v>20098509.900000002</v>
      </c>
      <c r="D12" s="11">
        <f>+id!C11+id!C12</f>
        <v>20495636.699999999</v>
      </c>
      <c r="E12" s="11">
        <f>+id!D11+id!D12</f>
        <v>21422265.899999999</v>
      </c>
      <c r="F12" s="11">
        <f>+id!E11+id!E12</f>
        <v>22746021.900000002</v>
      </c>
      <c r="G12" s="11">
        <f>+id!F11+id!F12</f>
        <v>22944585.300000001</v>
      </c>
      <c r="H12" s="11">
        <f>+id!G11+id!G12</f>
        <v>24433810.800000001</v>
      </c>
      <c r="I12" s="11">
        <f>+id!H11+id!H12</f>
        <v>24797843.699999999</v>
      </c>
      <c r="J12" s="11">
        <f>+id!I11+id!I12</f>
        <v>26783477.699999999</v>
      </c>
      <c r="K12" s="11">
        <f>+id!J11+id!J12</f>
        <v>28471266.599999998</v>
      </c>
      <c r="L12" s="11">
        <f>+id!K11+id!K12</f>
        <v>29364801.899999999</v>
      </c>
      <c r="M12" s="11">
        <f>+id!L11+id!L12</f>
        <v>29629553.099999998</v>
      </c>
      <c r="N12" s="49"/>
      <c r="O12" s="49"/>
      <c r="P12" s="49"/>
      <c r="Q12" s="49"/>
      <c r="R12" s="49"/>
    </row>
    <row r="13" spans="1:53">
      <c r="B13" s="49"/>
      <c r="C13" s="11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53">
      <c r="A14" t="s">
        <v>278</v>
      </c>
      <c r="C14" s="11">
        <f>+C12/1.19</f>
        <v>16889504.117647063</v>
      </c>
      <c r="D14" s="11">
        <f t="shared" ref="D14:M14" si="0">+D12/1.19</f>
        <v>17223224.117647059</v>
      </c>
      <c r="E14" s="11">
        <f t="shared" si="0"/>
        <v>18001904.117647059</v>
      </c>
      <c r="F14" s="11">
        <f t="shared" si="0"/>
        <v>19114304.117647063</v>
      </c>
      <c r="G14" s="11">
        <f t="shared" si="0"/>
        <v>19281164.117647059</v>
      </c>
      <c r="H14" s="11">
        <f t="shared" si="0"/>
        <v>20532614.117647059</v>
      </c>
      <c r="I14" s="11">
        <f t="shared" si="0"/>
        <v>20838524.117647059</v>
      </c>
      <c r="J14" s="11">
        <f t="shared" si="0"/>
        <v>22507124.117647059</v>
      </c>
      <c r="K14" s="11">
        <f t="shared" si="0"/>
        <v>23925434.117647059</v>
      </c>
      <c r="L14" s="11">
        <f t="shared" si="0"/>
        <v>24676304.117647059</v>
      </c>
      <c r="M14" s="11">
        <f t="shared" si="0"/>
        <v>24898784.117647059</v>
      </c>
    </row>
    <row r="15" spans="1:53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53">
      <c r="A16" s="87" t="s">
        <v>279</v>
      </c>
      <c r="C16" s="11">
        <f>+C14*0.19</f>
        <v>3209005.782352942</v>
      </c>
      <c r="D16" s="11">
        <f t="shared" ref="D16:M16" si="1">+D14*0.19</f>
        <v>3272412.5823529414</v>
      </c>
      <c r="E16" s="11">
        <f t="shared" si="1"/>
        <v>3420361.7823529411</v>
      </c>
      <c r="F16" s="11">
        <f t="shared" si="1"/>
        <v>3631717.782352942</v>
      </c>
      <c r="G16" s="11">
        <f t="shared" si="1"/>
        <v>3663421.1823529415</v>
      </c>
      <c r="H16" s="11">
        <f t="shared" si="1"/>
        <v>3901196.6823529415</v>
      </c>
      <c r="I16" s="11">
        <f t="shared" si="1"/>
        <v>3959319.5823529414</v>
      </c>
      <c r="J16" s="11">
        <f t="shared" si="1"/>
        <v>4276353.5823529409</v>
      </c>
      <c r="K16" s="11">
        <f t="shared" si="1"/>
        <v>4545832.4823529413</v>
      </c>
      <c r="L16" s="11">
        <f t="shared" si="1"/>
        <v>4688497.7823529411</v>
      </c>
      <c r="M16" s="11">
        <f t="shared" si="1"/>
        <v>4730768.9823529413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794C-9E79-475B-A961-6F48EE4B3C40}">
  <sheetPr>
    <tabColor rgb="FFFFFF00"/>
  </sheetPr>
  <dimension ref="A1:G26"/>
  <sheetViews>
    <sheetView workbookViewId="0">
      <selection activeCell="G1" sqref="G1"/>
    </sheetView>
  </sheetViews>
  <sheetFormatPr baseColWidth="10" defaultColWidth="8.3984375" defaultRowHeight="15.6"/>
  <cols>
    <col min="1" max="1" width="14.796875" style="60" customWidth="1"/>
    <col min="2" max="2" width="16.796875" style="60" customWidth="1"/>
    <col min="3" max="3" width="13.59765625" style="83" customWidth="1"/>
    <col min="4" max="5" width="13.59765625" style="60" customWidth="1"/>
    <col min="6" max="6" width="18.3984375" style="60" customWidth="1"/>
    <col min="7" max="7" width="19.796875" style="60" customWidth="1"/>
    <col min="8" max="16384" width="8.3984375" style="60"/>
  </cols>
  <sheetData>
    <row r="1" spans="1:7">
      <c r="A1" s="55" t="s">
        <v>147</v>
      </c>
      <c r="B1" s="56" t="s">
        <v>148</v>
      </c>
      <c r="C1" s="81" t="s">
        <v>149</v>
      </c>
      <c r="D1" s="57" t="s">
        <v>150</v>
      </c>
      <c r="E1" s="56" t="s">
        <v>151</v>
      </c>
      <c r="F1" s="58" t="s">
        <v>152</v>
      </c>
      <c r="G1" s="59" t="s">
        <v>153</v>
      </c>
    </row>
    <row r="2" spans="1:7">
      <c r="A2" s="61">
        <v>1</v>
      </c>
      <c r="B2" s="62">
        <v>45771</v>
      </c>
      <c r="C2" s="64">
        <v>1155553</v>
      </c>
      <c r="D2" s="63">
        <v>324929</v>
      </c>
      <c r="E2" s="63">
        <v>1480482</v>
      </c>
      <c r="F2" s="64">
        <v>20829</v>
      </c>
      <c r="G2" s="64">
        <v>1501311</v>
      </c>
    </row>
    <row r="3" spans="1:7">
      <c r="A3" s="65">
        <v>2</v>
      </c>
      <c r="B3" s="66">
        <v>45803</v>
      </c>
      <c r="C3" s="68">
        <v>1146710</v>
      </c>
      <c r="D3" s="67">
        <v>333772</v>
      </c>
      <c r="E3" s="67">
        <v>1480482</v>
      </c>
      <c r="F3" s="68">
        <v>21396</v>
      </c>
      <c r="G3" s="68">
        <v>1501878</v>
      </c>
    </row>
    <row r="4" spans="1:7">
      <c r="A4" s="65">
        <v>3</v>
      </c>
      <c r="B4" s="66">
        <v>45832</v>
      </c>
      <c r="C4" s="68">
        <v>1189529</v>
      </c>
      <c r="D4" s="67">
        <v>290953</v>
      </c>
      <c r="E4" s="67">
        <v>1480482</v>
      </c>
      <c r="F4" s="68">
        <v>18651</v>
      </c>
      <c r="G4" s="69">
        <v>1499133</v>
      </c>
    </row>
    <row r="5" spans="1:7">
      <c r="A5" s="65">
        <v>4</v>
      </c>
      <c r="B5" s="66">
        <v>45862</v>
      </c>
      <c r="C5" s="68">
        <v>1191867</v>
      </c>
      <c r="D5" s="67">
        <v>288615</v>
      </c>
      <c r="E5" s="67">
        <v>1480482</v>
      </c>
      <c r="F5" s="68">
        <v>18501</v>
      </c>
      <c r="G5" s="68">
        <v>1498983</v>
      </c>
    </row>
    <row r="6" spans="1:7">
      <c r="A6" s="65">
        <v>5</v>
      </c>
      <c r="B6" s="66">
        <v>45894</v>
      </c>
      <c r="C6" s="68">
        <v>1185848</v>
      </c>
      <c r="D6" s="67">
        <v>294634</v>
      </c>
      <c r="E6" s="67">
        <v>1480482</v>
      </c>
      <c r="F6" s="68">
        <v>18887</v>
      </c>
      <c r="G6" s="68">
        <v>1499369</v>
      </c>
    </row>
    <row r="7" spans="1:7">
      <c r="A7" s="65">
        <v>6</v>
      </c>
      <c r="B7" s="66">
        <v>45924</v>
      </c>
      <c r="C7" s="68">
        <v>1216596</v>
      </c>
      <c r="D7" s="67">
        <v>263886</v>
      </c>
      <c r="E7" s="67">
        <v>1480482</v>
      </c>
      <c r="F7" s="68">
        <v>16916</v>
      </c>
      <c r="G7" s="68">
        <v>1497398</v>
      </c>
    </row>
    <row r="8" spans="1:7">
      <c r="A8" s="65">
        <v>7</v>
      </c>
      <c r="B8" s="66">
        <v>45954</v>
      </c>
      <c r="C8" s="68">
        <v>1229248</v>
      </c>
      <c r="D8" s="67">
        <v>251234</v>
      </c>
      <c r="E8" s="67">
        <v>1480482</v>
      </c>
      <c r="F8" s="68">
        <v>16105</v>
      </c>
      <c r="G8" s="68">
        <v>1496587</v>
      </c>
    </row>
    <row r="9" spans="1:7">
      <c r="A9" s="65">
        <v>8</v>
      </c>
      <c r="B9" s="66">
        <v>45985</v>
      </c>
      <c r="C9" s="68">
        <v>1234084</v>
      </c>
      <c r="D9" s="67">
        <v>246398</v>
      </c>
      <c r="E9" s="67">
        <v>1480482</v>
      </c>
      <c r="F9" s="68">
        <v>15795</v>
      </c>
      <c r="G9" s="68">
        <v>1496277</v>
      </c>
    </row>
    <row r="10" spans="1:7">
      <c r="A10" s="65">
        <v>9</v>
      </c>
      <c r="B10" s="66">
        <v>46015</v>
      </c>
      <c r="C10" s="68">
        <v>1254867</v>
      </c>
      <c r="D10" s="67">
        <v>225615</v>
      </c>
      <c r="E10" s="67">
        <v>1480482</v>
      </c>
      <c r="F10" s="68">
        <v>14463</v>
      </c>
      <c r="G10" s="68">
        <v>1494945</v>
      </c>
    </row>
    <row r="11" spans="1:7">
      <c r="A11" s="65">
        <v>10</v>
      </c>
      <c r="B11" s="66">
        <v>46048</v>
      </c>
      <c r="C11" s="68">
        <v>1246661</v>
      </c>
      <c r="D11" s="67">
        <v>233821</v>
      </c>
      <c r="E11" s="67">
        <v>1480482</v>
      </c>
      <c r="F11" s="68">
        <v>14989</v>
      </c>
      <c r="G11" s="68">
        <v>1495471</v>
      </c>
    </row>
    <row r="12" spans="1:7">
      <c r="A12" s="65">
        <v>11</v>
      </c>
      <c r="B12" s="66">
        <v>46077</v>
      </c>
      <c r="C12" s="68">
        <v>1287536</v>
      </c>
      <c r="D12" s="67">
        <v>192946</v>
      </c>
      <c r="E12" s="67">
        <v>1480482</v>
      </c>
      <c r="F12" s="68">
        <v>12368</v>
      </c>
      <c r="G12" s="68">
        <v>1492850</v>
      </c>
    </row>
    <row r="13" spans="1:7">
      <c r="A13" s="65">
        <v>12</v>
      </c>
      <c r="B13" s="66">
        <v>46105</v>
      </c>
      <c r="C13" s="68">
        <v>1306687</v>
      </c>
      <c r="D13" s="67">
        <v>173795</v>
      </c>
      <c r="E13" s="67">
        <v>1480482</v>
      </c>
      <c r="F13" s="68">
        <v>11141</v>
      </c>
      <c r="G13" s="68">
        <v>1491623</v>
      </c>
    </row>
    <row r="14" spans="1:7">
      <c r="A14" s="65">
        <v>13</v>
      </c>
      <c r="B14" s="66">
        <v>46136</v>
      </c>
      <c r="C14" s="68">
        <v>1302109</v>
      </c>
      <c r="D14" s="67">
        <v>178373</v>
      </c>
      <c r="E14" s="67">
        <v>1480482</v>
      </c>
      <c r="F14" s="68">
        <v>11434</v>
      </c>
      <c r="G14" s="68">
        <v>1491916</v>
      </c>
    </row>
    <row r="15" spans="1:7">
      <c r="A15" s="65">
        <v>14</v>
      </c>
      <c r="B15" s="66">
        <v>46167</v>
      </c>
      <c r="C15" s="68">
        <v>1316102</v>
      </c>
      <c r="D15" s="67">
        <v>164380</v>
      </c>
      <c r="E15" s="67">
        <v>1480482</v>
      </c>
      <c r="F15" s="68">
        <v>10537</v>
      </c>
      <c r="G15" s="68">
        <v>1491019</v>
      </c>
    </row>
    <row r="16" spans="1:7">
      <c r="A16" s="65">
        <v>15</v>
      </c>
      <c r="B16" s="66">
        <v>46197</v>
      </c>
      <c r="C16" s="68">
        <v>1335092</v>
      </c>
      <c r="D16" s="67">
        <v>145390</v>
      </c>
      <c r="E16" s="67">
        <v>1480482</v>
      </c>
      <c r="F16" s="68">
        <v>9320</v>
      </c>
      <c r="G16" s="68">
        <v>1489802</v>
      </c>
    </row>
    <row r="17" spans="1:7">
      <c r="A17" s="65">
        <v>16</v>
      </c>
      <c r="B17" s="66">
        <v>46227</v>
      </c>
      <c r="C17" s="68">
        <v>1348977</v>
      </c>
      <c r="D17" s="67">
        <v>131505</v>
      </c>
      <c r="E17" s="67">
        <v>1480482</v>
      </c>
      <c r="F17" s="68">
        <v>8430</v>
      </c>
      <c r="G17" s="68">
        <v>1488912</v>
      </c>
    </row>
    <row r="18" spans="1:7">
      <c r="A18" s="65">
        <v>17</v>
      </c>
      <c r="B18" s="66">
        <v>46258</v>
      </c>
      <c r="C18" s="68">
        <v>1359090</v>
      </c>
      <c r="D18" s="67">
        <v>121392</v>
      </c>
      <c r="E18" s="67">
        <v>1480482</v>
      </c>
      <c r="F18" s="68">
        <v>7782</v>
      </c>
      <c r="G18" s="68">
        <v>1488264</v>
      </c>
    </row>
    <row r="19" spans="1:7">
      <c r="A19" s="65">
        <v>18</v>
      </c>
      <c r="B19" s="66">
        <v>46289</v>
      </c>
      <c r="C19" s="68">
        <v>1373696</v>
      </c>
      <c r="D19" s="67">
        <v>106786</v>
      </c>
      <c r="E19" s="67">
        <v>1480482</v>
      </c>
      <c r="F19" s="68">
        <v>6845</v>
      </c>
      <c r="G19" s="68">
        <v>1487327</v>
      </c>
    </row>
    <row r="20" spans="1:7">
      <c r="A20" s="70">
        <v>19</v>
      </c>
      <c r="B20" s="71">
        <v>46321</v>
      </c>
      <c r="C20" s="73">
        <v>1385490</v>
      </c>
      <c r="D20" s="72">
        <v>94992</v>
      </c>
      <c r="E20" s="72">
        <v>1480482</v>
      </c>
      <c r="F20" s="73">
        <v>6089</v>
      </c>
      <c r="G20" s="73">
        <v>1486571</v>
      </c>
    </row>
    <row r="21" spans="1:7">
      <c r="A21" s="61">
        <v>20</v>
      </c>
      <c r="B21" s="62">
        <v>46350</v>
      </c>
      <c r="C21" s="64">
        <v>1408325</v>
      </c>
      <c r="D21" s="63">
        <v>72157</v>
      </c>
      <c r="E21" s="74">
        <v>1480482</v>
      </c>
      <c r="F21" s="75">
        <v>4625</v>
      </c>
      <c r="G21" s="64">
        <v>1485107</v>
      </c>
    </row>
    <row r="22" spans="1:7">
      <c r="A22" s="65">
        <v>21</v>
      </c>
      <c r="B22" s="66">
        <v>46380</v>
      </c>
      <c r="C22" s="68">
        <v>1420483</v>
      </c>
      <c r="D22" s="67">
        <v>59999</v>
      </c>
      <c r="E22" s="76">
        <v>1480482</v>
      </c>
      <c r="F22" s="77">
        <v>3846</v>
      </c>
      <c r="G22" s="68">
        <v>1484328</v>
      </c>
    </row>
    <row r="23" spans="1:7">
      <c r="A23" s="65">
        <v>22</v>
      </c>
      <c r="B23" s="66">
        <v>46412</v>
      </c>
      <c r="C23" s="68">
        <v>1432241</v>
      </c>
      <c r="D23" s="67">
        <v>48241</v>
      </c>
      <c r="E23" s="76">
        <v>1480482</v>
      </c>
      <c r="F23" s="77">
        <v>3092</v>
      </c>
      <c r="G23" s="68">
        <v>1483574</v>
      </c>
    </row>
    <row r="24" spans="1:7">
      <c r="A24" s="65">
        <v>23</v>
      </c>
      <c r="B24" s="66">
        <v>46442</v>
      </c>
      <c r="C24" s="68">
        <v>1450151</v>
      </c>
      <c r="D24" s="67">
        <v>30331</v>
      </c>
      <c r="E24" s="76">
        <v>1480482</v>
      </c>
      <c r="F24" s="77">
        <v>1944</v>
      </c>
      <c r="G24" s="68">
        <v>1482426</v>
      </c>
    </row>
    <row r="25" spans="1:7">
      <c r="A25" s="70">
        <v>24</v>
      </c>
      <c r="B25" s="71">
        <v>46470</v>
      </c>
      <c r="C25" s="73">
        <v>1466262</v>
      </c>
      <c r="D25" s="72">
        <v>14233</v>
      </c>
      <c r="E25" s="78">
        <v>1480495</v>
      </c>
      <c r="F25" s="79">
        <v>912</v>
      </c>
      <c r="G25" s="73">
        <v>1481407</v>
      </c>
    </row>
    <row r="26" spans="1:7">
      <c r="C26" s="82">
        <f>SUM(C2:C25)</f>
        <v>31243204</v>
      </c>
      <c r="D26" s="80">
        <f>SUM(D2:D25)</f>
        <v>4288377</v>
      </c>
      <c r="E26" s="80">
        <f>SUM(E2:E25)</f>
        <v>35531581</v>
      </c>
      <c r="F26" s="80">
        <f>SUM(F2:F25)</f>
        <v>274897</v>
      </c>
      <c r="G26" s="80">
        <f>SUM(G2:G25)</f>
        <v>35806478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id</vt:lpstr>
      <vt:lpstr>PPTO RESULTADOS</vt:lpstr>
      <vt:lpstr>flujo Julio 2025</vt:lpstr>
      <vt:lpstr>proveedores_mensuales </vt:lpstr>
      <vt:lpstr>PROYECCION COMPRAS PROV </vt:lpstr>
      <vt:lpstr>FLUJO INGRESOS </vt:lpstr>
      <vt:lpstr>REMUNERACIONES_PPTO</vt:lpstr>
      <vt:lpstr>IMPUESTOS PROYECTADOS </vt:lpstr>
      <vt:lpstr>TABLA CREDITO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Hrubilar</dc:creator>
  <cp:lastModifiedBy>Henry Rubilar</cp:lastModifiedBy>
  <dcterms:created xsi:type="dcterms:W3CDTF">2025-06-27T17:41:52Z</dcterms:created>
  <dcterms:modified xsi:type="dcterms:W3CDTF">2025-07-14T22:11:47Z</dcterms:modified>
</cp:coreProperties>
</file>